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hollandhightech.sharepoint.com/Gedeelde documenten/Informatiemanagement/Aanvraag - Indiening/Begroting/"/>
    </mc:Choice>
  </mc:AlternateContent>
  <xr:revisionPtr revIDLastSave="35" documentId="8_{CE04059D-F5DD-4D26-8457-B3F96410E54D}" xr6:coauthVersionLast="47" xr6:coauthVersionMax="47" xr10:uidLastSave="{D0704631-3492-48E9-AB2B-7324EBBCCC91}"/>
  <workbookProtection workbookAlgorithmName="SHA-512" workbookHashValue="/qCvDNy3aYl9WR/O2gfIWTd1ZAYYNvmmASNNcrAwENJYTVVNuwPI7wtfDf676yyS4+4Ov4ZY7WxbUz5YM0Z0fg==" workbookSaltValue="9C7GJAlWAlceiObDjsgdUg==" workbookSpinCount="100000" lockStructure="1"/>
  <bookViews>
    <workbookView xWindow="-120" yWindow="-120" windowWidth="51840" windowHeight="21120" firstSheet="2" activeTab="2" xr2:uid="{DE56E03D-35CF-4C80-A21E-9DBB638DFEEB}"/>
  </bookViews>
  <sheets>
    <sheet name="Begrotingen" sheetId="44" state="hidden" r:id="rId1"/>
    <sheet name="Portal Checks" sheetId="42" state="hidden" r:id="rId2"/>
    <sheet name="Basisgegevens Aanvraag" sheetId="1" r:id="rId3"/>
    <sheet name="Begroting Kosten + Financiering" sheetId="8" r:id="rId4"/>
    <sheet name="Deelnemer 1 - Penvoerder" sheetId="5" r:id="rId5"/>
    <sheet name="Deelnemer 2" sheetId="13" r:id="rId6"/>
    <sheet name="Deelnemer 3" sheetId="15" r:id="rId7"/>
    <sheet name="Deelnemer 4" sheetId="16" r:id="rId8"/>
    <sheet name="Deelnemer 5" sheetId="18" r:id="rId9"/>
    <sheet name="Deelnemer 6" sheetId="19" r:id="rId10"/>
    <sheet name="Deelnemer 7" sheetId="20" r:id="rId11"/>
    <sheet name="Deelnemer 8" sheetId="21" r:id="rId12"/>
    <sheet name="Deelnemer 9" sheetId="22" r:id="rId13"/>
    <sheet name="Deelnemer 10" sheetId="23" r:id="rId14"/>
    <sheet name="Deelnemer 11" sheetId="30" r:id="rId15"/>
    <sheet name="Deelnemer 12" sheetId="31" r:id="rId16"/>
    <sheet name="Deelnemer 13" sheetId="32" r:id="rId17"/>
    <sheet name="Deelnemer 14" sheetId="33" r:id="rId18"/>
    <sheet name="Deelnemer 15" sheetId="34" r:id="rId19"/>
    <sheet name="Deelnemer 16" sheetId="35" r:id="rId20"/>
    <sheet name="Deelnemer 17" sheetId="36" r:id="rId21"/>
    <sheet name="Deelnemer 18" sheetId="37" r:id="rId22"/>
    <sheet name="Deelnemer 19" sheetId="38" r:id="rId23"/>
    <sheet name="Deelnemer 20" sheetId="39" r:id="rId24"/>
    <sheet name="Specificatie Apparatuur" sheetId="6" r:id="rId25"/>
    <sheet name="LuT Foutmeldingen" sheetId="29" state="hidden" r:id="rId26"/>
    <sheet name="LuT Deelnemers" sheetId="10" state="hidden" r:id="rId27"/>
    <sheet name="LuT Begroting Deelnemers" sheetId="24" state="hidden" r:id="rId28"/>
    <sheet name="LuT Subsidie- en Co-funding %" sheetId="28" state="hidden" r:id="rId29"/>
    <sheet name="Validation Lists" sheetId="4" state="hidden" r:id="rId30"/>
  </sheets>
  <definedNames>
    <definedName name="Cash_DN1">'Begroting Kosten + Financiering'!$L$8</definedName>
    <definedName name="Cash_DN10">'Begroting Kosten + Financiering'!$L$17</definedName>
    <definedName name="Cash_DN11">'Begroting Kosten + Financiering'!$L$18</definedName>
    <definedName name="Cash_DN12">'Begroting Kosten + Financiering'!$L$19</definedName>
    <definedName name="Cash_DN13">'Begroting Kosten + Financiering'!$L$20</definedName>
    <definedName name="Cash_DN14">'Begroting Kosten + Financiering'!$L$21</definedName>
    <definedName name="Cash_DN15">'Begroting Kosten + Financiering'!$L$22</definedName>
    <definedName name="Cash_DN16">'Begroting Kosten + Financiering'!$L$23</definedName>
    <definedName name="Cash_DN17">'Begroting Kosten + Financiering'!$L$24</definedName>
    <definedName name="Cash_DN18">'Begroting Kosten + Financiering'!$L$25</definedName>
    <definedName name="Cash_DN19">'Begroting Kosten + Financiering'!$L$26</definedName>
    <definedName name="Cash_DN2">'Begroting Kosten + Financiering'!$L$9</definedName>
    <definedName name="Cash_DN20">'Begroting Kosten + Financiering'!$L$27</definedName>
    <definedName name="Cash_DN3">'Begroting Kosten + Financiering'!$L$10</definedName>
    <definedName name="Cash_DN4">'Begroting Kosten + Financiering'!$L$11</definedName>
    <definedName name="Cash_DN5">'Begroting Kosten + Financiering'!$L$12</definedName>
    <definedName name="Cash_DN6">'Begroting Kosten + Financiering'!$L$13</definedName>
    <definedName name="Cash_DN7">'Begroting Kosten + Financiering'!$L$14</definedName>
    <definedName name="Cash_DN8">'Begroting Kosten + Financiering'!$L$15</definedName>
    <definedName name="Cash_DN9">'Begroting Kosten + Financiering'!$L$16</definedName>
    <definedName name="Cash_Ontvangen_DN1">'Begroting Kosten + Financiering'!$M$8</definedName>
    <definedName name="Cash_Ontvangen_DN10">'Begroting Kosten + Financiering'!$M$17</definedName>
    <definedName name="Cash_Ontvangen_DN11">'Begroting Kosten + Financiering'!$M$18</definedName>
    <definedName name="Cash_Ontvangen_DN12">'Begroting Kosten + Financiering'!$M$19</definedName>
    <definedName name="Cash_Ontvangen_DN13">'Begroting Kosten + Financiering'!$M$20</definedName>
    <definedName name="Cash_Ontvangen_DN14">'Begroting Kosten + Financiering'!$M$21</definedName>
    <definedName name="Cash_Ontvangen_DN15">'Begroting Kosten + Financiering'!$M$22</definedName>
    <definedName name="Cash_Ontvangen_DN16">'Begroting Kosten + Financiering'!$M$23</definedName>
    <definedName name="Cash_Ontvangen_DN17">'Begroting Kosten + Financiering'!$M$24</definedName>
    <definedName name="Cash_Ontvangen_DN18">'Begroting Kosten + Financiering'!$M$25</definedName>
    <definedName name="Cash_Ontvangen_DN19">'Begroting Kosten + Financiering'!$M$26</definedName>
    <definedName name="Cash_Ontvangen_DN2">'Begroting Kosten + Financiering'!$M$9</definedName>
    <definedName name="Cash_Ontvangen_DN20">'Begroting Kosten + Financiering'!$M$27</definedName>
    <definedName name="Cash_Ontvangen_DN3">'Begroting Kosten + Financiering'!$M$10</definedName>
    <definedName name="Cash_Ontvangen_DN4">'Begroting Kosten + Financiering'!$M$11</definedName>
    <definedName name="Cash_Ontvangen_DN5">'Begroting Kosten + Financiering'!$M$12</definedName>
    <definedName name="Cash_Ontvangen_DN6">'Begroting Kosten + Financiering'!$M$13</definedName>
    <definedName name="Cash_Ontvangen_DN7">'Begroting Kosten + Financiering'!$M$14</definedName>
    <definedName name="Cash_Ontvangen_DN8">'Begroting Kosten + Financiering'!$M$15</definedName>
    <definedName name="Cash_Ontvangen_DN9">'Begroting Kosten + Financiering'!$M$16</definedName>
    <definedName name="Cash_Ontvangen_Tot">'Begroting Kosten + Financiering'!$M$28</definedName>
    <definedName name="Cash_Tot">'Begroting Kosten + Financiering'!$L$28</definedName>
    <definedName name="Check_Vaste_uurtarief" localSheetId="4">'Deelnemer 1 - Penvoerder'!$J$23</definedName>
    <definedName name="Check_Vaste_uurtarief" localSheetId="13">'Deelnemer 10'!$J$23</definedName>
    <definedName name="Check_Vaste_uurtarief" localSheetId="14">'Deelnemer 11'!$J$23</definedName>
    <definedName name="Check_Vaste_uurtarief" localSheetId="15">'Deelnemer 12'!$J$23</definedName>
    <definedName name="Check_Vaste_uurtarief" localSheetId="16">'Deelnemer 13'!$J$23</definedName>
    <definedName name="Check_Vaste_uurtarief" localSheetId="17">'Deelnemer 14'!$J$23</definedName>
    <definedName name="Check_Vaste_uurtarief" localSheetId="18">'Deelnemer 15'!$J$23</definedName>
    <definedName name="Check_Vaste_uurtarief" localSheetId="19">'Deelnemer 16'!$J$23</definedName>
    <definedName name="Check_Vaste_uurtarief" localSheetId="20">'Deelnemer 17'!$J$23</definedName>
    <definedName name="Check_Vaste_uurtarief" localSheetId="21">'Deelnemer 18'!$J$23</definedName>
    <definedName name="Check_Vaste_uurtarief" localSheetId="22">'Deelnemer 19'!$J$23</definedName>
    <definedName name="Check_Vaste_uurtarief" localSheetId="5">'Deelnemer 2'!$J$23</definedName>
    <definedName name="Check_Vaste_uurtarief" localSheetId="23">'Deelnemer 20'!$J$23</definedName>
    <definedName name="Check_Vaste_uurtarief" localSheetId="6">'Deelnemer 3'!$J$23</definedName>
    <definedName name="Check_Vaste_uurtarief" localSheetId="7">'Deelnemer 4'!$J$23</definedName>
    <definedName name="Check_Vaste_uurtarief" localSheetId="8">'Deelnemer 5'!$J$23</definedName>
    <definedName name="Check_Vaste_uurtarief" localSheetId="9">'Deelnemer 6'!$J$23</definedName>
    <definedName name="Check_Vaste_uurtarief" localSheetId="10">'Deelnemer 7'!$J$23</definedName>
    <definedName name="Check_Vaste_uurtarief" localSheetId="11">'Deelnemer 8'!$J$23</definedName>
    <definedName name="Check_Vaste_uurtarief" localSheetId="12">'Deelnemer 9'!$J$23</definedName>
    <definedName name="Deelnemer_1">'Basisgegevens Aanvraag'!$B$8</definedName>
    <definedName name="Deelnemer_10">'Basisgegevens Aanvraag'!$B$17</definedName>
    <definedName name="Deelnemer_11">'Basisgegevens Aanvraag'!$B$18</definedName>
    <definedName name="Deelnemer_12">'Basisgegevens Aanvraag'!$B$19</definedName>
    <definedName name="Deelnemer_13">'Basisgegevens Aanvraag'!$B$20</definedName>
    <definedName name="Deelnemer_14">'Basisgegevens Aanvraag'!$B$21</definedName>
    <definedName name="Deelnemer_15">'Basisgegevens Aanvraag'!$B$22</definedName>
    <definedName name="Deelnemer_16">'Basisgegevens Aanvraag'!$B$23</definedName>
    <definedName name="Deelnemer_17">'Basisgegevens Aanvraag'!$B$24</definedName>
    <definedName name="Deelnemer_18">'Basisgegevens Aanvraag'!$B$25</definedName>
    <definedName name="Deelnemer_19">'Basisgegevens Aanvraag'!$B$26</definedName>
    <definedName name="Deelnemer_2">'Basisgegevens Aanvraag'!$B$9</definedName>
    <definedName name="Deelnemer_20">'Basisgegevens Aanvraag'!$B$27</definedName>
    <definedName name="Deelnemer_3">'Basisgegevens Aanvraag'!$B$10</definedName>
    <definedName name="Deelnemer_4">'Basisgegevens Aanvraag'!$B$11</definedName>
    <definedName name="Deelnemer_5">'Basisgegevens Aanvraag'!$B$12</definedName>
    <definedName name="Deelnemer_6">'Basisgegevens Aanvraag'!$B$13</definedName>
    <definedName name="Deelnemer_7">'Basisgegevens Aanvraag'!$B$14</definedName>
    <definedName name="Deelnemer_8">'Basisgegevens Aanvraag'!$B$15</definedName>
    <definedName name="Deelnemer_9">'Basisgegevens Aanvraag'!$B$16</definedName>
    <definedName name="Directe_Loonkosten">'Validation Lists'!$C$4</definedName>
    <definedName name="Fin_Tot">'Begroting Kosten + Financiering'!$T$28</definedName>
    <definedName name="Fin_Tot_DN1">'Begroting Kosten + Financiering'!$T$8</definedName>
    <definedName name="Fin_Tot_DN10">'Begroting Kosten + Financiering'!$T$17</definedName>
    <definedName name="Fin_Tot_DN11">'Begroting Kosten + Financiering'!$T$18</definedName>
    <definedName name="Fin_Tot_DN12">'Begroting Kosten + Financiering'!$T$19</definedName>
    <definedName name="Fin_Tot_DN13">'Begroting Kosten + Financiering'!$T$20</definedName>
    <definedName name="Fin_Tot_DN14">'Begroting Kosten + Financiering'!$T$21</definedName>
    <definedName name="Fin_Tot_DN15">'Begroting Kosten + Financiering'!$T$22</definedName>
    <definedName name="Fin_Tot_DN16">'Begroting Kosten + Financiering'!$T$23</definedName>
    <definedName name="Fin_Tot_DN17">'Begroting Kosten + Financiering'!$T$24</definedName>
    <definedName name="Fin_Tot_DN18">'Begroting Kosten + Financiering'!$T$25</definedName>
    <definedName name="Fin_Tot_DN19">'Begroting Kosten + Financiering'!$T$26</definedName>
    <definedName name="Fin_Tot_DN2">'Begroting Kosten + Financiering'!$T$9</definedName>
    <definedName name="Fin_Tot_DN20">'Begroting Kosten + Financiering'!$T$27</definedName>
    <definedName name="Fin_Tot_DN3">'Begroting Kosten + Financiering'!$T$10</definedName>
    <definedName name="Fin_Tot_DN4">'Begroting Kosten + Financiering'!$T$11</definedName>
    <definedName name="Fin_Tot_DN5">'Begroting Kosten + Financiering'!$T$12</definedName>
    <definedName name="Fin_Tot_DN6">'Begroting Kosten + Financiering'!$T$13</definedName>
    <definedName name="Fin_Tot_DN7">'Begroting Kosten + Financiering'!$T$14</definedName>
    <definedName name="Fin_Tot_DN8">'Begroting Kosten + Financiering'!$T$15</definedName>
    <definedName name="Fin_Tot_DN9">'Begroting Kosten + Financiering'!$T$16</definedName>
    <definedName name="In_kind_DN1">'Begroting Kosten + Financiering'!$N$8</definedName>
    <definedName name="In_kind_DN10">'Begroting Kosten + Financiering'!$N$17</definedName>
    <definedName name="In_kind_DN11">'Begroting Kosten + Financiering'!$N$18</definedName>
    <definedName name="In_kind_DN12">'Begroting Kosten + Financiering'!$N$19</definedName>
    <definedName name="In_kind_DN13">'Begroting Kosten + Financiering'!$N$20</definedName>
    <definedName name="In_kind_DN14">'Begroting Kosten + Financiering'!$N$21</definedName>
    <definedName name="In_kind_DN15">'Begroting Kosten + Financiering'!$N$22</definedName>
    <definedName name="In_kind_DN16">'Begroting Kosten + Financiering'!$N$23</definedName>
    <definedName name="In_kind_DN17">'Begroting Kosten + Financiering'!$N$24</definedName>
    <definedName name="In_kind_DN18">'Begroting Kosten + Financiering'!$N$25</definedName>
    <definedName name="In_kind_DN19">'Begroting Kosten + Financiering'!$N$26</definedName>
    <definedName name="In_kind_DN2">'Begroting Kosten + Financiering'!$N$9</definedName>
    <definedName name="In_kind_DN20">'Begroting Kosten + Financiering'!$N$27</definedName>
    <definedName name="In_kind_DN3">'Begroting Kosten + Financiering'!$N$10</definedName>
    <definedName name="In_kind_DN4">'Begroting Kosten + Financiering'!$N$11</definedName>
    <definedName name="In_kind_DN5">'Begroting Kosten + Financiering'!$N$12</definedName>
    <definedName name="In_kind_DN6">'Begroting Kosten + Financiering'!$N$13</definedName>
    <definedName name="In_kind_DN7">'Begroting Kosten + Financiering'!$N$14</definedName>
    <definedName name="In_kind_DN8">'Begroting Kosten + Financiering'!$N$15</definedName>
    <definedName name="In_kind_DN9">'Begroting Kosten + Financiering'!$N$16</definedName>
    <definedName name="In_kind_Tot">'Begroting Kosten + Financiering'!$N$28</definedName>
    <definedName name="Integrale_Kosten">'Validation Lists'!$C$3</definedName>
    <definedName name="Kosten_Apparatuur" localSheetId="4">'Deelnemer 1 - Penvoerder'!$J$55</definedName>
    <definedName name="Kosten_Apparatuur" localSheetId="13">'Deelnemer 10'!$J$55</definedName>
    <definedName name="Kosten_Apparatuur" localSheetId="14">'Deelnemer 11'!$J$55</definedName>
    <definedName name="Kosten_Apparatuur" localSheetId="15">'Deelnemer 12'!$J$55</definedName>
    <definedName name="Kosten_Apparatuur" localSheetId="16">'Deelnemer 13'!$J$55</definedName>
    <definedName name="Kosten_Apparatuur" localSheetId="17">'Deelnemer 14'!$J$55</definedName>
    <definedName name="Kosten_Apparatuur" localSheetId="18">'Deelnemer 15'!$J$55</definedName>
    <definedName name="Kosten_Apparatuur" localSheetId="19">'Deelnemer 16'!$J$55</definedName>
    <definedName name="Kosten_Apparatuur" localSheetId="20">'Deelnemer 17'!$J$55</definedName>
    <definedName name="Kosten_Apparatuur" localSheetId="21">'Deelnemer 18'!$J$55</definedName>
    <definedName name="Kosten_Apparatuur" localSheetId="22">'Deelnemer 19'!$J$55</definedName>
    <definedName name="Kosten_Apparatuur" localSheetId="5">'Deelnemer 2'!$J$55</definedName>
    <definedName name="Kosten_Apparatuur" localSheetId="23">'Deelnemer 20'!$J$55</definedName>
    <definedName name="Kosten_Apparatuur" localSheetId="6">'Deelnemer 3'!$J$55</definedName>
    <definedName name="Kosten_Apparatuur" localSheetId="7">'Deelnemer 4'!$J$55</definedName>
    <definedName name="Kosten_Apparatuur" localSheetId="8">'Deelnemer 5'!$J$55</definedName>
    <definedName name="Kosten_Apparatuur" localSheetId="9">'Deelnemer 6'!$J$55</definedName>
    <definedName name="Kosten_Apparatuur" localSheetId="10">'Deelnemer 7'!$J$55</definedName>
    <definedName name="Kosten_Apparatuur" localSheetId="11">'Deelnemer 8'!$J$55</definedName>
    <definedName name="Kosten_Apparatuur" localSheetId="12">'Deelnemer 9'!$J$55</definedName>
    <definedName name="Kosten_EO" localSheetId="4">'Deelnemer 1 - Penvoerder'!$I$74</definedName>
    <definedName name="Kosten_EO" localSheetId="13">'Deelnemer 10'!$I$74</definedName>
    <definedName name="Kosten_EO" localSheetId="14">'Deelnemer 11'!$I$74</definedName>
    <definedName name="Kosten_EO" localSheetId="15">'Deelnemer 12'!$I$74</definedName>
    <definedName name="Kosten_EO" localSheetId="16">'Deelnemer 13'!$I$74</definedName>
    <definedName name="Kosten_EO" localSheetId="17">'Deelnemer 14'!$I$74</definedName>
    <definedName name="Kosten_EO" localSheetId="18">'Deelnemer 15'!$I$74</definedName>
    <definedName name="Kosten_EO" localSheetId="19">'Deelnemer 16'!$I$74</definedName>
    <definedName name="Kosten_EO" localSheetId="20">'Deelnemer 17'!$I$74</definedName>
    <definedName name="Kosten_EO" localSheetId="21">'Deelnemer 18'!$I$74</definedName>
    <definedName name="Kosten_EO" localSheetId="22">'Deelnemer 19'!$I$74</definedName>
    <definedName name="Kosten_EO" localSheetId="5">'Deelnemer 2'!$I$74</definedName>
    <definedName name="Kosten_EO" localSheetId="23">'Deelnemer 20'!$I$74</definedName>
    <definedName name="Kosten_EO" localSheetId="6">'Deelnemer 3'!$I$74</definedName>
    <definedName name="Kosten_EO" localSheetId="7">'Deelnemer 4'!$I$74</definedName>
    <definedName name="Kosten_EO" localSheetId="8">'Deelnemer 5'!$I$74</definedName>
    <definedName name="Kosten_EO" localSheetId="9">'Deelnemer 6'!$I$74</definedName>
    <definedName name="Kosten_EO" localSheetId="10">'Deelnemer 7'!$I$74</definedName>
    <definedName name="Kosten_EO" localSheetId="11">'Deelnemer 8'!$I$74</definedName>
    <definedName name="Kosten_EO" localSheetId="12">'Deelnemer 9'!$I$74</definedName>
    <definedName name="Kosten_FO" localSheetId="4">'Deelnemer 1 - Penvoerder'!$E$74</definedName>
    <definedName name="Kosten_FO" localSheetId="13">'Deelnemer 10'!$E$74</definedName>
    <definedName name="Kosten_FO" localSheetId="14">'Deelnemer 11'!$E$74</definedName>
    <definedName name="Kosten_FO" localSheetId="15">'Deelnemer 12'!$E$74</definedName>
    <definedName name="Kosten_FO" localSheetId="16">'Deelnemer 13'!$E$74</definedName>
    <definedName name="Kosten_FO" localSheetId="17">'Deelnemer 14'!$E$74</definedName>
    <definedName name="Kosten_FO" localSheetId="18">'Deelnemer 15'!$E$74</definedName>
    <definedName name="Kosten_FO" localSheetId="19">'Deelnemer 16'!$E$74</definedName>
    <definedName name="Kosten_FO" localSheetId="20">'Deelnemer 17'!$E$74</definedName>
    <definedName name="Kosten_FO" localSheetId="21">'Deelnemer 18'!$E$74</definedName>
    <definedName name="Kosten_FO" localSheetId="22">'Deelnemer 19'!$E$74</definedName>
    <definedName name="Kosten_FO" localSheetId="5">'Deelnemer 2'!$E$74</definedName>
    <definedName name="Kosten_FO" localSheetId="23">'Deelnemer 20'!$E$74</definedName>
    <definedName name="Kosten_FO" localSheetId="6">'Deelnemer 3'!$E$74</definedName>
    <definedName name="Kosten_FO" localSheetId="7">'Deelnemer 4'!$E$74</definedName>
    <definedName name="Kosten_FO" localSheetId="8">'Deelnemer 5'!$E$74</definedName>
    <definedName name="Kosten_FO" localSheetId="9">'Deelnemer 6'!$E$74</definedName>
    <definedName name="Kosten_FO" localSheetId="10">'Deelnemer 7'!$E$74</definedName>
    <definedName name="Kosten_FO" localSheetId="11">'Deelnemer 8'!$E$74</definedName>
    <definedName name="Kosten_FO" localSheetId="12">'Deelnemer 9'!$E$74</definedName>
    <definedName name="Kosten_IO" localSheetId="4">'Deelnemer 1 - Penvoerder'!$G$74</definedName>
    <definedName name="Kosten_IO" localSheetId="13">'Deelnemer 10'!$G$74</definedName>
    <definedName name="Kosten_IO" localSheetId="14">'Deelnemer 11'!$G$74</definedName>
    <definedName name="Kosten_IO" localSheetId="15">'Deelnemer 12'!$G$74</definedName>
    <definedName name="Kosten_IO" localSheetId="16">'Deelnemer 13'!$G$74</definedName>
    <definedName name="Kosten_IO" localSheetId="17">'Deelnemer 14'!$G$74</definedName>
    <definedName name="Kosten_IO" localSheetId="18">'Deelnemer 15'!$G$74</definedName>
    <definedName name="Kosten_IO" localSheetId="19">'Deelnemer 16'!$G$74</definedName>
    <definedName name="Kosten_IO" localSheetId="20">'Deelnemer 17'!$G$74</definedName>
    <definedName name="Kosten_IO" localSheetId="21">'Deelnemer 18'!$G$74</definedName>
    <definedName name="Kosten_IO" localSheetId="22">'Deelnemer 19'!$G$74</definedName>
    <definedName name="Kosten_IO" localSheetId="5">'Deelnemer 2'!$G$74</definedName>
    <definedName name="Kosten_IO" localSheetId="23">'Deelnemer 20'!$G$74</definedName>
    <definedName name="Kosten_IO" localSheetId="6">'Deelnemer 3'!$G$74</definedName>
    <definedName name="Kosten_IO" localSheetId="7">'Deelnemer 4'!$G$74</definedName>
    <definedName name="Kosten_IO" localSheetId="8">'Deelnemer 5'!$G$74</definedName>
    <definedName name="Kosten_IO" localSheetId="9">'Deelnemer 6'!$G$74</definedName>
    <definedName name="Kosten_IO" localSheetId="10">'Deelnemer 7'!$G$74</definedName>
    <definedName name="Kosten_IO" localSheetId="11">'Deelnemer 8'!$G$74</definedName>
    <definedName name="Kosten_IO" localSheetId="12">'Deelnemer 9'!$G$74</definedName>
    <definedName name="Kosten_Totaal" localSheetId="4">'Deelnemer 1 - Penvoerder'!$J$74</definedName>
    <definedName name="Kosten_Totaal" localSheetId="13">'Deelnemer 10'!$J$74</definedName>
    <definedName name="Kosten_Totaal" localSheetId="14">'Deelnemer 11'!$J$74</definedName>
    <definedName name="Kosten_Totaal" localSheetId="15">'Deelnemer 12'!$J$74</definedName>
    <definedName name="Kosten_Totaal" localSheetId="16">'Deelnemer 13'!$J$74</definedName>
    <definedName name="Kosten_Totaal" localSheetId="17">'Deelnemer 14'!$J$74</definedName>
    <definedName name="Kosten_Totaal" localSheetId="18">'Deelnemer 15'!$J$74</definedName>
    <definedName name="Kosten_Totaal" localSheetId="19">'Deelnemer 16'!$J$74</definedName>
    <definedName name="Kosten_Totaal" localSheetId="20">'Deelnemer 17'!$J$74</definedName>
    <definedName name="Kosten_Totaal" localSheetId="21">'Deelnemer 18'!$J$74</definedName>
    <definedName name="Kosten_Totaal" localSheetId="22">'Deelnemer 19'!$J$74</definedName>
    <definedName name="Kosten_Totaal" localSheetId="5">'Deelnemer 2'!$J$74</definedName>
    <definedName name="Kosten_Totaal" localSheetId="23">'Deelnemer 20'!$J$74</definedName>
    <definedName name="Kosten_Totaal" localSheetId="6">'Deelnemer 3'!$J$74</definedName>
    <definedName name="Kosten_Totaal" localSheetId="7">'Deelnemer 4'!$J$74</definedName>
    <definedName name="Kosten_Totaal" localSheetId="8">'Deelnemer 5'!$J$74</definedName>
    <definedName name="Kosten_Totaal" localSheetId="9">'Deelnemer 6'!$J$74</definedName>
    <definedName name="Kosten_Totaal" localSheetId="10">'Deelnemer 7'!$J$74</definedName>
    <definedName name="Kosten_Totaal" localSheetId="11">'Deelnemer 8'!$J$74</definedName>
    <definedName name="Kosten_Totaal" localSheetId="12">'Deelnemer 9'!$J$74</definedName>
    <definedName name="Kostensystematiek" localSheetId="4">'Deelnemer 1 - Penvoerder'!$B$9</definedName>
    <definedName name="Kostensystematiek" localSheetId="13">'Deelnemer 10'!$B$9</definedName>
    <definedName name="Kostensystematiek" localSheetId="14">'Deelnemer 11'!$B$9</definedName>
    <definedName name="Kostensystematiek" localSheetId="15">'Deelnemer 12'!$B$9</definedName>
    <definedName name="Kostensystematiek" localSheetId="16">'Deelnemer 13'!$B$9</definedName>
    <definedName name="Kostensystematiek" localSheetId="17">'Deelnemer 14'!$B$9</definedName>
    <definedName name="Kostensystematiek" localSheetId="18">'Deelnemer 15'!$B$9</definedName>
    <definedName name="Kostensystematiek" localSheetId="19">'Deelnemer 16'!$B$9</definedName>
    <definedName name="Kostensystematiek" localSheetId="20">'Deelnemer 17'!$B$9</definedName>
    <definedName name="Kostensystematiek" localSheetId="21">'Deelnemer 18'!$B$9</definedName>
    <definedName name="Kostensystematiek" localSheetId="22">'Deelnemer 19'!$B$9</definedName>
    <definedName name="Kostensystematiek" localSheetId="5">'Deelnemer 2'!$B$9</definedName>
    <definedName name="Kostensystematiek" localSheetId="23">'Deelnemer 20'!$B$9</definedName>
    <definedName name="Kostensystematiek" localSheetId="6">'Deelnemer 3'!$B$9</definedName>
    <definedName name="Kostensystematiek" localSheetId="7">'Deelnemer 4'!$B$9</definedName>
    <definedName name="Kostensystematiek" localSheetId="8">'Deelnemer 5'!$B$9</definedName>
    <definedName name="Kostensystematiek" localSheetId="9">'Deelnemer 6'!$B$9</definedName>
    <definedName name="Kostensystematiek" localSheetId="10">'Deelnemer 7'!$B$9</definedName>
    <definedName name="Kostensystematiek" localSheetId="11">'Deelnemer 8'!$B$9</definedName>
    <definedName name="Kostensystematiek" localSheetId="12">'Deelnemer 9'!$B$9</definedName>
    <definedName name="Kst_EO_DN1">'Begroting Kosten + Financiering'!$F$8</definedName>
    <definedName name="Kst_EO_DN10">'Begroting Kosten + Financiering'!$F$17</definedName>
    <definedName name="Kst_EO_DN11">'Begroting Kosten + Financiering'!$F$18</definedName>
    <definedName name="Kst_EO_DN12">'Begroting Kosten + Financiering'!$F$19</definedName>
    <definedName name="Kst_EO_DN13">'Begroting Kosten + Financiering'!$F$20</definedName>
    <definedName name="Kst_EO_DN14">'Begroting Kosten + Financiering'!$F$21</definedName>
    <definedName name="Kst_EO_DN15">'Begroting Kosten + Financiering'!$F$22</definedName>
    <definedName name="Kst_EO_DN16">'Begroting Kosten + Financiering'!$F$23</definedName>
    <definedName name="Kst_EO_DN17">'Begroting Kosten + Financiering'!$F$24</definedName>
    <definedName name="Kst_EO_DN18">'Begroting Kosten + Financiering'!$F$25</definedName>
    <definedName name="Kst_EO_DN19">'Begroting Kosten + Financiering'!$F$26</definedName>
    <definedName name="Kst_EO_DN2">'Begroting Kosten + Financiering'!$F$9</definedName>
    <definedName name="Kst_EO_DN20">'Begroting Kosten + Financiering'!$F$27</definedName>
    <definedName name="Kst_EO_DN3">'Begroting Kosten + Financiering'!$F$10</definedName>
    <definedName name="Kst_EO_DN4">'Begroting Kosten + Financiering'!$F$11</definedName>
    <definedName name="Kst_EO_DN5">'Begroting Kosten + Financiering'!$F$12</definedName>
    <definedName name="Kst_EO_DN6">'Begroting Kosten + Financiering'!$F$13</definedName>
    <definedName name="Kst_EO_DN7">'Begroting Kosten + Financiering'!$F$14</definedName>
    <definedName name="Kst_EO_DN8">'Begroting Kosten + Financiering'!$F$15</definedName>
    <definedName name="Kst_EO_DN9">'Begroting Kosten + Financiering'!$F$16</definedName>
    <definedName name="Kst_EO_Tot">'Begroting Kosten + Financiering'!$F$28</definedName>
    <definedName name="Kst_FO_DN1">'Begroting Kosten + Financiering'!$D$8</definedName>
    <definedName name="Kst_FO_DN10">'Begroting Kosten + Financiering'!$D$17</definedName>
    <definedName name="Kst_FO_DN11">'Begroting Kosten + Financiering'!$D$18</definedName>
    <definedName name="Kst_FO_DN12">'Begroting Kosten + Financiering'!$D$19</definedName>
    <definedName name="Kst_FO_DN13">'Begroting Kosten + Financiering'!$D$20</definedName>
    <definedName name="Kst_FO_DN14">'Begroting Kosten + Financiering'!$D$21</definedName>
    <definedName name="Kst_FO_DN15">'Begroting Kosten + Financiering'!$D$22</definedName>
    <definedName name="Kst_FO_DN16">'Begroting Kosten + Financiering'!$D$23</definedName>
    <definedName name="Kst_FO_DN17">'Begroting Kosten + Financiering'!$D$24</definedName>
    <definedName name="Kst_FO_DN18">'Begroting Kosten + Financiering'!$D$25</definedName>
    <definedName name="Kst_FO_DN19">'Begroting Kosten + Financiering'!$D$26</definedName>
    <definedName name="Kst_FO_DN2">'Begroting Kosten + Financiering'!$D$9</definedName>
    <definedName name="Kst_FO_DN20">'Begroting Kosten + Financiering'!$D$27</definedName>
    <definedName name="Kst_FO_DN3">'Begroting Kosten + Financiering'!$D$10</definedName>
    <definedName name="Kst_FO_DN4">'Begroting Kosten + Financiering'!$D$11</definedName>
    <definedName name="Kst_FO_DN5">'Begroting Kosten + Financiering'!$D$12</definedName>
    <definedName name="Kst_FO_DN6">'Begroting Kosten + Financiering'!$D$13</definedName>
    <definedName name="Kst_FO_DN7">'Begroting Kosten + Financiering'!$D$14</definedName>
    <definedName name="Kst_FO_DN8">'Begroting Kosten + Financiering'!$D$15</definedName>
    <definedName name="Kst_FO_DN9">'Begroting Kosten + Financiering'!$D$16</definedName>
    <definedName name="Kst_FO_Tot">'Begroting Kosten + Financiering'!$D$28</definedName>
    <definedName name="Kst_IO_DN1">'Begroting Kosten + Financiering'!$E$8</definedName>
    <definedName name="Kst_IO_DN10">'Begroting Kosten + Financiering'!$E$17</definedName>
    <definedName name="Kst_IO_DN11">'Begroting Kosten + Financiering'!$E$18</definedName>
    <definedName name="Kst_IO_DN12">'Begroting Kosten + Financiering'!$E$19</definedName>
    <definedName name="Kst_IO_DN13">'Begroting Kosten + Financiering'!$E$20</definedName>
    <definedName name="Kst_IO_DN14">'Begroting Kosten + Financiering'!$E$21</definedName>
    <definedName name="Kst_IO_DN15">'Begroting Kosten + Financiering'!$E$22</definedName>
    <definedName name="Kst_IO_DN16">'Begroting Kosten + Financiering'!$E$23</definedName>
    <definedName name="Kst_IO_DN17">'Begroting Kosten + Financiering'!$E$24</definedName>
    <definedName name="Kst_IO_DN18">'Begroting Kosten + Financiering'!$E$25</definedName>
    <definedName name="Kst_IO_DN19">'Begroting Kosten + Financiering'!$E$26</definedName>
    <definedName name="Kst_IO_DN2">'Begroting Kosten + Financiering'!$E$9</definedName>
    <definedName name="Kst_IO_DN20">'Begroting Kosten + Financiering'!$E$27</definedName>
    <definedName name="Kst_IO_DN3">'Begroting Kosten + Financiering'!$E$10</definedName>
    <definedName name="Kst_IO_DN4">'Begroting Kosten + Financiering'!$E$11</definedName>
    <definedName name="Kst_IO_DN5">'Begroting Kosten + Financiering'!$E$12</definedName>
    <definedName name="Kst_IO_DN6">'Begroting Kosten + Financiering'!$E$13</definedName>
    <definedName name="Kst_IO_DN7">'Begroting Kosten + Financiering'!$E$14</definedName>
    <definedName name="Kst_IO_DN8">'Begroting Kosten + Financiering'!$E$15</definedName>
    <definedName name="Kst_IO_DN9">'Begroting Kosten + Financiering'!$E$16</definedName>
    <definedName name="Kst_IO_Tot">'Begroting Kosten + Financiering'!$E$28</definedName>
    <definedName name="Kst_Tot">'Begroting Kosten + Financiering'!$G$28</definedName>
    <definedName name="Kst_Tot_DN1">'Begroting Kosten + Financiering'!$G$8</definedName>
    <definedName name="Kst_Tot_DN10">'Begroting Kosten + Financiering'!$G$17</definedName>
    <definedName name="Kst_Tot_DN11">'Begroting Kosten + Financiering'!$G$18</definedName>
    <definedName name="Kst_Tot_DN12">'Begroting Kosten + Financiering'!$G$19</definedName>
    <definedName name="Kst_Tot_DN13">'Begroting Kosten + Financiering'!$G$20</definedName>
    <definedName name="Kst_Tot_DN14">'Begroting Kosten + Financiering'!$G$21</definedName>
    <definedName name="Kst_Tot_DN15">'Begroting Kosten + Financiering'!$G$22</definedName>
    <definedName name="Kst_Tot_DN16">'Begroting Kosten + Financiering'!$G$23</definedName>
    <definedName name="Kst_Tot_DN17">'Begroting Kosten + Financiering'!$G$24</definedName>
    <definedName name="Kst_Tot_DN18">'Begroting Kosten + Financiering'!$G$25</definedName>
    <definedName name="Kst_Tot_DN19">'Begroting Kosten + Financiering'!$G$26</definedName>
    <definedName name="Kst_Tot_DN2">'Begroting Kosten + Financiering'!$G$9</definedName>
    <definedName name="Kst_Tot_DN20">'Begroting Kosten + Financiering'!$G$27</definedName>
    <definedName name="Kst_Tot_DN3">'Begroting Kosten + Financiering'!$G$10</definedName>
    <definedName name="Kst_Tot_DN4">'Begroting Kosten + Financiering'!$G$11</definedName>
    <definedName name="Kst_Tot_DN5">'Begroting Kosten + Financiering'!$G$12</definedName>
    <definedName name="Kst_Tot_DN6">'Begroting Kosten + Financiering'!$G$13</definedName>
    <definedName name="Kst_Tot_DN7">'Begroting Kosten + Financiering'!$G$14</definedName>
    <definedName name="Kst_Tot_DN8">'Begroting Kosten + Financiering'!$G$15</definedName>
    <definedName name="Kst_Tot_DN9">'Begroting Kosten + Financiering'!$G$16</definedName>
    <definedName name="Max_Sub_DN1">'Begroting Kosten + Financiering'!$K$8</definedName>
    <definedName name="Max_Sub_DN10">'Begroting Kosten + Financiering'!$K$17</definedName>
    <definedName name="Max_Sub_DN11">'Begroting Kosten + Financiering'!$K$18</definedName>
    <definedName name="Max_Sub_DN12">'Begroting Kosten + Financiering'!$K$19</definedName>
    <definedName name="Max_Sub_DN13">'Begroting Kosten + Financiering'!$K$20</definedName>
    <definedName name="Max_Sub_DN14">'Begroting Kosten + Financiering'!$K$21</definedName>
    <definedName name="Max_Sub_DN15">'Begroting Kosten + Financiering'!$K$22</definedName>
    <definedName name="Max_Sub_DN16">'Begroting Kosten + Financiering'!$K$23</definedName>
    <definedName name="Max_Sub_DN17">'Begroting Kosten + Financiering'!$K$24</definedName>
    <definedName name="Max_Sub_DN18">'Begroting Kosten + Financiering'!$K$25</definedName>
    <definedName name="Max_Sub_DN19">'Begroting Kosten + Financiering'!$K$26</definedName>
    <definedName name="Max_Sub_DN2">'Begroting Kosten + Financiering'!$K$9</definedName>
    <definedName name="Max_Sub_DN20">'Begroting Kosten + Financiering'!$K$27</definedName>
    <definedName name="Max_Sub_DN3">'Begroting Kosten + Financiering'!$K$10</definedName>
    <definedName name="Max_Sub_DN4">'Begroting Kosten + Financiering'!$K$11</definedName>
    <definedName name="Max_Sub_DN5">'Begroting Kosten + Financiering'!$K$12</definedName>
    <definedName name="Max_Sub_DN6">'Begroting Kosten + Financiering'!$K$13</definedName>
    <definedName name="Max_Sub_DN7">'Begroting Kosten + Financiering'!$K$14</definedName>
    <definedName name="Max_Sub_DN8">'Begroting Kosten + Financiering'!$K$15</definedName>
    <definedName name="Max_Sub_DN9">'Begroting Kosten + Financiering'!$K$16</definedName>
    <definedName name="Max_Sub_EO_DN1">'Begroting Kosten + Financiering'!$J$8</definedName>
    <definedName name="Max_Sub_EO_DN10">'Begroting Kosten + Financiering'!$J$17</definedName>
    <definedName name="Max_Sub_EO_DN11">'Begroting Kosten + Financiering'!$J$18</definedName>
    <definedName name="Max_Sub_EO_DN12">'Begroting Kosten + Financiering'!$J$19</definedName>
    <definedName name="Max_Sub_EO_DN13">'Begroting Kosten + Financiering'!$J$20</definedName>
    <definedName name="Max_Sub_EO_DN14">'Begroting Kosten + Financiering'!$J$21</definedName>
    <definedName name="Max_Sub_EO_DN15">'Begroting Kosten + Financiering'!$J$22</definedName>
    <definedName name="Max_Sub_EO_DN16">'Begroting Kosten + Financiering'!$J$23</definedName>
    <definedName name="Max_Sub_EO_DN17">'Begroting Kosten + Financiering'!$J$24</definedName>
    <definedName name="Max_Sub_EO_DN18">'Begroting Kosten + Financiering'!$J$25</definedName>
    <definedName name="Max_Sub_EO_DN19">'Begroting Kosten + Financiering'!$J$26</definedName>
    <definedName name="Max_Sub_EO_DN2">'Begroting Kosten + Financiering'!$J$9</definedName>
    <definedName name="Max_Sub_EO_DN20">'Begroting Kosten + Financiering'!$J$27</definedName>
    <definedName name="Max_Sub_EO_DN3">'Begroting Kosten + Financiering'!$J$10</definedName>
    <definedName name="Max_Sub_EO_DN4">'Begroting Kosten + Financiering'!$J$11</definedName>
    <definedName name="Max_Sub_EO_DN5">'Begroting Kosten + Financiering'!$J$12</definedName>
    <definedName name="Max_Sub_EO_DN6">'Begroting Kosten + Financiering'!$J$13</definedName>
    <definedName name="Max_Sub_EO_DN7">'Begroting Kosten + Financiering'!$J$14</definedName>
    <definedName name="Max_Sub_EO_DN8">'Begroting Kosten + Financiering'!$J$15</definedName>
    <definedName name="Max_Sub_EO_DN9">'Begroting Kosten + Financiering'!$J$16</definedName>
    <definedName name="Max_Sub_EO_Tot">'Begroting Kosten + Financiering'!$J$28</definedName>
    <definedName name="Max_Sub_FO_DN1">'Begroting Kosten + Financiering'!$H$8</definedName>
    <definedName name="Max_Sub_FO_DN10">'Begroting Kosten + Financiering'!$H$17</definedName>
    <definedName name="Max_Sub_FO_DN11">'Begroting Kosten + Financiering'!$H$18</definedName>
    <definedName name="Max_Sub_FO_DN12">'Begroting Kosten + Financiering'!$H$19</definedName>
    <definedName name="Max_Sub_FO_DN13">'Begroting Kosten + Financiering'!$H$20</definedName>
    <definedName name="Max_Sub_FO_DN14">'Begroting Kosten + Financiering'!$H$21</definedName>
    <definedName name="Max_Sub_FO_DN15">'Begroting Kosten + Financiering'!$H$22</definedName>
    <definedName name="Max_Sub_FO_DN16">'Begroting Kosten + Financiering'!$H$23</definedName>
    <definedName name="Max_Sub_FO_DN17">'Begroting Kosten + Financiering'!$H$24</definedName>
    <definedName name="Max_Sub_FO_DN18">'Begroting Kosten + Financiering'!$H$25</definedName>
    <definedName name="Max_Sub_FO_DN19">'Begroting Kosten + Financiering'!$H$26</definedName>
    <definedName name="Max_Sub_FO_DN2">'Begroting Kosten + Financiering'!$H$9</definedName>
    <definedName name="Max_Sub_FO_DN20">'Begroting Kosten + Financiering'!$H$27</definedName>
    <definedName name="Max_Sub_FO_DN3">'Begroting Kosten + Financiering'!$H$10</definedName>
    <definedName name="Max_Sub_FO_DN4">'Begroting Kosten + Financiering'!$H$11</definedName>
    <definedName name="Max_Sub_FO_DN5">'Begroting Kosten + Financiering'!$H$12</definedName>
    <definedName name="Max_Sub_FO_DN6">'Begroting Kosten + Financiering'!$H$13</definedName>
    <definedName name="Max_Sub_FO_DN7">'Begroting Kosten + Financiering'!$H$14</definedName>
    <definedName name="Max_Sub_FO_DN8">'Begroting Kosten + Financiering'!$H$15</definedName>
    <definedName name="Max_Sub_FO_DN9">'Begroting Kosten + Financiering'!$H$16</definedName>
    <definedName name="Max_Sub_FO_Tot">'Begroting Kosten + Financiering'!$H$28</definedName>
    <definedName name="Max_Sub_IO_DN1">'Begroting Kosten + Financiering'!$I$8</definedName>
    <definedName name="Max_Sub_IO_DN10">'Begroting Kosten + Financiering'!$I$17</definedName>
    <definedName name="Max_Sub_IO_DN11">'Begroting Kosten + Financiering'!$I$18</definedName>
    <definedName name="Max_Sub_IO_DN12">'Begroting Kosten + Financiering'!$I$19</definedName>
    <definedName name="Max_Sub_IO_DN13">'Begroting Kosten + Financiering'!$I$20</definedName>
    <definedName name="Max_Sub_IO_DN14">'Begroting Kosten + Financiering'!$I$21</definedName>
    <definedName name="Max_Sub_IO_DN15">'Begroting Kosten + Financiering'!$I$22</definedName>
    <definedName name="Max_Sub_IO_DN16">'Begroting Kosten + Financiering'!$I$23</definedName>
    <definedName name="Max_Sub_IO_DN17">'Begroting Kosten + Financiering'!$I$24</definedName>
    <definedName name="Max_Sub_IO_DN18">'Begroting Kosten + Financiering'!$I$25</definedName>
    <definedName name="Max_Sub_IO_DN19">'Begroting Kosten + Financiering'!$I$26</definedName>
    <definedName name="Max_Sub_IO_DN2">'Begroting Kosten + Financiering'!$I$9</definedName>
    <definedName name="Max_Sub_IO_DN20">'Begroting Kosten + Financiering'!$I$27</definedName>
    <definedName name="Max_Sub_IO_DN3">'Begroting Kosten + Financiering'!$I$10</definedName>
    <definedName name="Max_Sub_IO_DN4">'Begroting Kosten + Financiering'!$I$11</definedName>
    <definedName name="Max_Sub_IO_DN5">'Begroting Kosten + Financiering'!$I$12</definedName>
    <definedName name="Max_Sub_IO_DN6">'Begroting Kosten + Financiering'!$I$13</definedName>
    <definedName name="Max_Sub_IO_DN7">'Begroting Kosten + Financiering'!$I$14</definedName>
    <definedName name="Max_Sub_IO_DN8">'Begroting Kosten + Financiering'!$I$15</definedName>
    <definedName name="Max_Sub_IO_DN9">'Begroting Kosten + Financiering'!$I$16</definedName>
    <definedName name="Max_Sub_IO_Tot">'Begroting Kosten + Financiering'!$I$28</definedName>
    <definedName name="Max_Sub_Tot">'Begroting Kosten + Financiering'!$K$28</definedName>
    <definedName name="Max_Subsidie_EO" localSheetId="4">'Deelnemer 1 - Penvoerder'!$I$76</definedName>
    <definedName name="Max_Subsidie_EO" localSheetId="13">'Deelnemer 10'!$I$76</definedName>
    <definedName name="Max_Subsidie_EO" localSheetId="14">'Deelnemer 11'!$I$76</definedName>
    <definedName name="Max_Subsidie_EO" localSheetId="15">'Deelnemer 12'!$I$76</definedName>
    <definedName name="Max_Subsidie_EO" localSheetId="16">'Deelnemer 13'!$I$76</definedName>
    <definedName name="Max_Subsidie_EO" localSheetId="17">'Deelnemer 14'!$I$76</definedName>
    <definedName name="Max_Subsidie_EO" localSheetId="18">'Deelnemer 15'!$I$76</definedName>
    <definedName name="Max_Subsidie_EO" localSheetId="19">'Deelnemer 16'!$I$76</definedName>
    <definedName name="Max_Subsidie_EO" localSheetId="20">'Deelnemer 17'!$I$76</definedName>
    <definedName name="Max_Subsidie_EO" localSheetId="21">'Deelnemer 18'!$I$76</definedName>
    <definedName name="Max_Subsidie_EO" localSheetId="22">'Deelnemer 19'!$I$76</definedName>
    <definedName name="Max_Subsidie_EO" localSheetId="5">'Deelnemer 2'!$I$76</definedName>
    <definedName name="Max_Subsidie_EO" localSheetId="23">'Deelnemer 20'!$I$76</definedName>
    <definedName name="Max_Subsidie_EO" localSheetId="6">'Deelnemer 3'!$I$76</definedName>
    <definedName name="Max_Subsidie_EO" localSheetId="7">'Deelnemer 4'!$I$76</definedName>
    <definedName name="Max_Subsidie_EO" localSheetId="8">'Deelnemer 5'!$I$76</definedName>
    <definedName name="Max_Subsidie_EO" localSheetId="9">'Deelnemer 6'!$I$76</definedName>
    <definedName name="Max_Subsidie_EO" localSheetId="10">'Deelnemer 7'!$I$76</definedName>
    <definedName name="Max_Subsidie_EO" localSheetId="11">'Deelnemer 8'!$I$76</definedName>
    <definedName name="Max_Subsidie_EO" localSheetId="12">'Deelnemer 9'!$I$76</definedName>
    <definedName name="Max_Subsidie_FO" localSheetId="4">'Deelnemer 1 - Penvoerder'!$E$76</definedName>
    <definedName name="Max_Subsidie_FO" localSheetId="13">'Deelnemer 10'!$E$76</definedName>
    <definedName name="Max_Subsidie_FO" localSheetId="14">'Deelnemer 11'!$E$76</definedName>
    <definedName name="Max_Subsidie_FO" localSheetId="15">'Deelnemer 12'!$E$76</definedName>
    <definedName name="Max_Subsidie_FO" localSheetId="16">'Deelnemer 13'!$E$76</definedName>
    <definedName name="Max_Subsidie_FO" localSheetId="17">'Deelnemer 14'!$E$76</definedName>
    <definedName name="Max_Subsidie_FO" localSheetId="18">'Deelnemer 15'!$E$76</definedName>
    <definedName name="Max_Subsidie_FO" localSheetId="19">'Deelnemer 16'!$E$76</definedName>
    <definedName name="Max_Subsidie_FO" localSheetId="20">'Deelnemer 17'!$E$76</definedName>
    <definedName name="Max_Subsidie_FO" localSheetId="21">'Deelnemer 18'!$E$76</definedName>
    <definedName name="Max_Subsidie_FO" localSheetId="22">'Deelnemer 19'!$E$76</definedName>
    <definedName name="Max_Subsidie_FO" localSheetId="5">'Deelnemer 2'!$E$76</definedName>
    <definedName name="Max_Subsidie_FO" localSheetId="23">'Deelnemer 20'!$E$76</definedName>
    <definedName name="Max_Subsidie_FO" localSheetId="6">'Deelnemer 3'!$E$76</definedName>
    <definedName name="Max_Subsidie_FO" localSheetId="7">'Deelnemer 4'!$E$76</definedName>
    <definedName name="Max_Subsidie_FO" localSheetId="8">'Deelnemer 5'!$E$76</definedName>
    <definedName name="Max_Subsidie_FO" localSheetId="9">'Deelnemer 6'!$E$76</definedName>
    <definedName name="Max_Subsidie_FO" localSheetId="10">'Deelnemer 7'!$E$76</definedName>
    <definedName name="Max_Subsidie_FO" localSheetId="11">'Deelnemer 8'!$E$76</definedName>
    <definedName name="Max_Subsidie_FO" localSheetId="12">'Deelnemer 9'!$E$76</definedName>
    <definedName name="Max_Subsidie_IO" localSheetId="4">'Deelnemer 1 - Penvoerder'!$G$76</definedName>
    <definedName name="Max_Subsidie_IO" localSheetId="13">'Deelnemer 10'!$G$76</definedName>
    <definedName name="Max_Subsidie_IO" localSheetId="14">'Deelnemer 11'!$G$76</definedName>
    <definedName name="Max_Subsidie_IO" localSheetId="15">'Deelnemer 12'!$G$76</definedName>
    <definedName name="Max_Subsidie_IO" localSheetId="16">'Deelnemer 13'!$G$76</definedName>
    <definedName name="Max_Subsidie_IO" localSheetId="17">'Deelnemer 14'!$G$76</definedName>
    <definedName name="Max_Subsidie_IO" localSheetId="18">'Deelnemer 15'!$G$76</definedName>
    <definedName name="Max_Subsidie_IO" localSheetId="19">'Deelnemer 16'!$G$76</definedName>
    <definedName name="Max_Subsidie_IO" localSheetId="20">'Deelnemer 17'!$G$76</definedName>
    <definedName name="Max_Subsidie_IO" localSheetId="21">'Deelnemer 18'!$G$76</definedName>
    <definedName name="Max_Subsidie_IO" localSheetId="22">'Deelnemer 19'!$G$76</definedName>
    <definedName name="Max_Subsidie_IO" localSheetId="5">'Deelnemer 2'!$G$76</definedName>
    <definedName name="Max_Subsidie_IO" localSheetId="23">'Deelnemer 20'!$G$76</definedName>
    <definedName name="Max_Subsidie_IO" localSheetId="6">'Deelnemer 3'!$G$76</definedName>
    <definedName name="Max_Subsidie_IO" localSheetId="7">'Deelnemer 4'!$G$76</definedName>
    <definedName name="Max_Subsidie_IO" localSheetId="8">'Deelnemer 5'!$G$76</definedName>
    <definedName name="Max_Subsidie_IO" localSheetId="9">'Deelnemer 6'!$G$76</definedName>
    <definedName name="Max_Subsidie_IO" localSheetId="10">'Deelnemer 7'!$G$76</definedName>
    <definedName name="Max_Subsidie_IO" localSheetId="11">'Deelnemer 8'!$G$76</definedName>
    <definedName name="Max_Subsidie_IO" localSheetId="12">'Deelnemer 9'!$G$76</definedName>
    <definedName name="Max_Subsidie_Totaal" localSheetId="4">'Deelnemer 1 - Penvoerder'!$J$76</definedName>
    <definedName name="Max_Subsidie_Totaal" localSheetId="13">'Deelnemer 10'!$J$76</definedName>
    <definedName name="Max_Subsidie_Totaal" localSheetId="14">'Deelnemer 11'!$J$76</definedName>
    <definedName name="Max_Subsidie_Totaal" localSheetId="15">'Deelnemer 12'!$J$76</definedName>
    <definedName name="Max_Subsidie_Totaal" localSheetId="16">'Deelnemer 13'!$J$76</definedName>
    <definedName name="Max_Subsidie_Totaal" localSheetId="17">'Deelnemer 14'!$J$76</definedName>
    <definedName name="Max_Subsidie_Totaal" localSheetId="18">'Deelnemer 15'!$J$76</definedName>
    <definedName name="Max_Subsidie_Totaal" localSheetId="19">'Deelnemer 16'!$J$76</definedName>
    <definedName name="Max_Subsidie_Totaal" localSheetId="20">'Deelnemer 17'!$J$76</definedName>
    <definedName name="Max_Subsidie_Totaal" localSheetId="21">'Deelnemer 18'!$J$76</definedName>
    <definedName name="Max_Subsidie_Totaal" localSheetId="22">'Deelnemer 19'!$J$76</definedName>
    <definedName name="Max_Subsidie_Totaal" localSheetId="5">'Deelnemer 2'!$J$76</definedName>
    <definedName name="Max_Subsidie_Totaal" localSheetId="23">'Deelnemer 20'!$J$76</definedName>
    <definedName name="Max_Subsidie_Totaal" localSheetId="6">'Deelnemer 3'!$J$76</definedName>
    <definedName name="Max_Subsidie_Totaal" localSheetId="7">'Deelnemer 4'!$J$76</definedName>
    <definedName name="Max_Subsidie_Totaal" localSheetId="8">'Deelnemer 5'!$J$76</definedName>
    <definedName name="Max_Subsidie_Totaal" localSheetId="9">'Deelnemer 6'!$J$76</definedName>
    <definedName name="Max_Subsidie_Totaal" localSheetId="10">'Deelnemer 7'!$J$76</definedName>
    <definedName name="Max_Subsidie_Totaal" localSheetId="11">'Deelnemer 8'!$J$76</definedName>
    <definedName name="Max_Subsidie_Totaal" localSheetId="12">'Deelnemer 9'!$J$76</definedName>
    <definedName name="Minimale_Cash_CoF">Table_LuT_Begroting_Deelnemers[[#Totals],[Minimale co-funding - Cash]]</definedName>
    <definedName name="Overige_Subsidies_DN1">'Begroting Kosten + Financiering'!$O$8</definedName>
    <definedName name="Overige_Subsidies_DN10">'Begroting Kosten + Financiering'!$O$17</definedName>
    <definedName name="Overige_Subsidies_DN11">'Begroting Kosten + Financiering'!$O$18</definedName>
    <definedName name="Overige_Subsidies_DN12">'Begroting Kosten + Financiering'!$O$19</definedName>
    <definedName name="Overige_Subsidies_DN13">'Begroting Kosten + Financiering'!$O$20</definedName>
    <definedName name="Overige_Subsidies_DN14">'Begroting Kosten + Financiering'!$O$21</definedName>
    <definedName name="Overige_Subsidies_DN15">'Begroting Kosten + Financiering'!$O$22</definedName>
    <definedName name="Overige_Subsidies_DN16">'Begroting Kosten + Financiering'!$O$23</definedName>
    <definedName name="Overige_Subsidies_DN17">'Begroting Kosten + Financiering'!$O$24</definedName>
    <definedName name="Overige_Subsidies_DN18">'Begroting Kosten + Financiering'!$O$25</definedName>
    <definedName name="Overige_Subsidies_DN19">'Begroting Kosten + Financiering'!$O$26</definedName>
    <definedName name="Overige_Subsidies_DN2">'Begroting Kosten + Financiering'!$O$9</definedName>
    <definedName name="Overige_Subsidies_DN20">'Begroting Kosten + Financiering'!$O$27</definedName>
    <definedName name="Overige_Subsidies_DN3">'Begroting Kosten + Financiering'!$O$10</definedName>
    <definedName name="Overige_Subsidies_DN4">'Begroting Kosten + Financiering'!$O$11</definedName>
    <definedName name="Overige_Subsidies_DN5">'Begroting Kosten + Financiering'!$O$12</definedName>
    <definedName name="Overige_Subsidies_DN6">'Begroting Kosten + Financiering'!$O$13</definedName>
    <definedName name="Overige_Subsidies_DN7">'Begroting Kosten + Financiering'!$O$14</definedName>
    <definedName name="Overige_Subsidies_DN8">'Begroting Kosten + Financiering'!$O$15</definedName>
    <definedName name="Overige_Subsidies_DN9">'Begroting Kosten + Financiering'!$O$16</definedName>
    <definedName name="Overige_Subsidies_Tot">'Begroting Kosten + Financiering'!$O$28</definedName>
    <definedName name="Projectacroniem">'Basisgegevens Aanvraag'!$B$5</definedName>
    <definedName name="Projecttitel">'Basisgegevens Aanvraag'!$B$4</definedName>
    <definedName name="Range_Deelnemer_Nrs">'Basisgegevens Aanvraag'!$A$8:$G$27</definedName>
    <definedName name="Range_Deelnemers">'Basisgegevens Aanvraag'!$A$7:$G$27</definedName>
    <definedName name="Range_Deelnemers_Naam_Organisaties">'Basisgegevens Aanvraag'!$B$8:$B$27</definedName>
    <definedName name="Range_Deelnemers_Type_Organisaties">'Basisgegevens Aanvraag'!$C$8:$C$27</definedName>
    <definedName name="Result_Check_005">Table_LuT_Deelnemers[[#Totals],[Check 005]]</definedName>
    <definedName name="Result_Check_006">Table_LuT_Deelnemers[[#Totals],[Check 007]]</definedName>
    <definedName name="Result_Check_011">Table_LuT_Deelnemers[[#Totals],[Check 011]]</definedName>
    <definedName name="Result_Check_013">Table_LuT_Deelnemers[[#Totals],[Check 013]]</definedName>
    <definedName name="Result_Check_015">Table_LuT_Deelnemers[[#Totals],[Check 015]]</definedName>
    <definedName name="Result_Check_017">Table_LuT_Deelnemers[[#Totals],[Check 017]]</definedName>
    <definedName name="Result_Check_020">Table_LuT_Deelnemers[[#Totals],[Check 020]]</definedName>
    <definedName name="Result_Check_111">Table_LuT_Deelnemers[[#Totals],[Check 111]]</definedName>
    <definedName name="Result_Check_121">Table_LuT_Deelnemers[[#Totals],[Check 121]]</definedName>
    <definedName name="Result_Check_123">Table_LuT_Deelnemers[[#Totals],[Check 123]]</definedName>
    <definedName name="Result_Check_125">Table_LuT_Deelnemers[[#Totals],[Check 125]]</definedName>
    <definedName name="Result_Check_150">Table_LuT_Deelnemers[[#Totals],[Check 150]]</definedName>
    <definedName name="Result_Check_160">Table_LuT_Deelnemers[[#Totals],[Check 160]]</definedName>
    <definedName name="Result_Check_190">Table_LuT_Deelnemers[[#Totals],[Check 190]]</definedName>
    <definedName name="Result_Check_200">Table_LuT_Deelnemers[[#Totals],[Check 200]]</definedName>
    <definedName name="Result_Check_500">Table_LuT_Deelnemers[[#Totals],[Check 500]]</definedName>
    <definedName name="Result_Check_505">Table_LuT_Deelnemers[[#Totals],[Check 505]]</definedName>
    <definedName name="Result_Check_510">Table_LuT_Deelnemers[[#Totals],[Check 510]]</definedName>
    <definedName name="Result_Check_515">Table_LuT_Deelnemers[[#Totals],[Check 515]]</definedName>
    <definedName name="Result_Check_520">Table_LuT_Deelnemers[[#Totals],[Check 520]]</definedName>
    <definedName name="Result_Check_525">Table_LuT_Deelnemers[[#Totals],[Check 525]]</definedName>
    <definedName name="Result_Check_530">Table_LuT_Deelnemers[[#Totals],[Check 530]]</definedName>
    <definedName name="Result_Check_535">Table_LuT_Deelnemers[[#Totals],[Check 535]]</definedName>
    <definedName name="Result_Check_540">Table_LuT_Deelnemers[[#Totals],[Check 540]]</definedName>
    <definedName name="Result_Check_541">Table_LuT_Deelnemers[[#Totals],[Check 541]]</definedName>
    <definedName name="Result_Check_545">Table_LuT_Deelnemers[[#Totals],[Check 545]]</definedName>
    <definedName name="Result_Check_550">Table_LuT_Deelnemers[[#Totals],[Check 550]]</definedName>
    <definedName name="Result_Check_555">Table_LuT_Deelnemers[[#Totals],[Check 555]]</definedName>
    <definedName name="Result_Check_560">Table_LuT_Deelnemers[[#Totals],[Check 560]]</definedName>
    <definedName name="Result_Check_565">Table_LuT_Deelnemers[[#Totals],[Check 565]]</definedName>
    <definedName name="Result_Check_570">Table_LuT_Deelnemers[[#Totals],[Check 570]]</definedName>
    <definedName name="Result_Check_575">Table_LuT_Deelnemers[[#Totals],[Check 575]]</definedName>
    <definedName name="Result_Check_580">Table_LuT_Deelnemers[[#Totals],[Check 580]]</definedName>
    <definedName name="Result_Check_990">Table_LuT_Deelnemers[[#Totals],[Check 990]]</definedName>
    <definedName name="Result_Check_999">Table_LuT_Deelnemers[[#Totals],[Check 999]]</definedName>
    <definedName name="SAPBEXdnldView" hidden="1">"3NQD6EKXAC576OVM4USCBBJ45"</definedName>
    <definedName name="SAPBEXsysID" hidden="1">"BTP"</definedName>
    <definedName name="Subsidie_DN1">'Begroting Kosten + Financiering'!$S$8</definedName>
    <definedName name="Subsidie_DN10">'Begroting Kosten + Financiering'!$S$17</definedName>
    <definedName name="Subsidie_DN11">'Begroting Kosten + Financiering'!$S$18</definedName>
    <definedName name="Subsidie_DN12">'Begroting Kosten + Financiering'!$S$19</definedName>
    <definedName name="Subsidie_DN13">'Begroting Kosten + Financiering'!$S$20</definedName>
    <definedName name="Subsidie_DN14">'Begroting Kosten + Financiering'!$S$21</definedName>
    <definedName name="Subsidie_DN15">'Begroting Kosten + Financiering'!$S$22</definedName>
    <definedName name="Subsidie_DN16">'Begroting Kosten + Financiering'!$S$23</definedName>
    <definedName name="Subsidie_DN17">'Begroting Kosten + Financiering'!$S$24</definedName>
    <definedName name="Subsidie_DN18">'Begroting Kosten + Financiering'!$S$25</definedName>
    <definedName name="Subsidie_DN19">'Begroting Kosten + Financiering'!$S$26</definedName>
    <definedName name="Subsidie_DN2">'Begroting Kosten + Financiering'!$S$9</definedName>
    <definedName name="Subsidie_DN20">'Begroting Kosten + Financiering'!$S$27</definedName>
    <definedName name="Subsidie_DN3">'Begroting Kosten + Financiering'!$S$10</definedName>
    <definedName name="Subsidie_DN4">'Begroting Kosten + Financiering'!$S$11</definedName>
    <definedName name="Subsidie_DN5">'Begroting Kosten + Financiering'!$S$12</definedName>
    <definedName name="Subsidie_DN6">'Begroting Kosten + Financiering'!$S$13</definedName>
    <definedName name="Subsidie_DN7">'Begroting Kosten + Financiering'!$S$14</definedName>
    <definedName name="Subsidie_DN8">'Begroting Kosten + Financiering'!$S$15</definedName>
    <definedName name="Subsidie_DN9">'Begroting Kosten + Financiering'!$S$16</definedName>
    <definedName name="Subsidie_EO_DN1">'Begroting Kosten + Financiering'!$R$8</definedName>
    <definedName name="Subsidie_EO_DN10">'Begroting Kosten + Financiering'!$R$17</definedName>
    <definedName name="Subsidie_EO_DN11">'Begroting Kosten + Financiering'!$R$18</definedName>
    <definedName name="Subsidie_EO_DN12">'Begroting Kosten + Financiering'!$R$19</definedName>
    <definedName name="Subsidie_EO_DN13">'Begroting Kosten + Financiering'!$R$20</definedName>
    <definedName name="Subsidie_EO_DN14">'Begroting Kosten + Financiering'!$R$21</definedName>
    <definedName name="Subsidie_EO_DN15">'Begroting Kosten + Financiering'!$R$22</definedName>
    <definedName name="Subsidie_EO_DN16">'Begroting Kosten + Financiering'!$R$23</definedName>
    <definedName name="Subsidie_EO_DN17">'Begroting Kosten + Financiering'!$R$24</definedName>
    <definedName name="Subsidie_EO_DN18">'Begroting Kosten + Financiering'!$R$25</definedName>
    <definedName name="Subsidie_EO_DN19">'Begroting Kosten + Financiering'!$R$26</definedName>
    <definedName name="Subsidie_EO_DN2">'Begroting Kosten + Financiering'!$R$9</definedName>
    <definedName name="Subsidie_EO_DN20">'Begroting Kosten + Financiering'!$R$27</definedName>
    <definedName name="Subsidie_EO_DN3">'Begroting Kosten + Financiering'!$R$10</definedName>
    <definedName name="Subsidie_EO_DN4">'Begroting Kosten + Financiering'!$R$11</definedName>
    <definedName name="Subsidie_EO_DN5">'Begroting Kosten + Financiering'!$R$12</definedName>
    <definedName name="Subsidie_EO_DN6">'Begroting Kosten + Financiering'!$R$13</definedName>
    <definedName name="Subsidie_EO_DN7">'Begroting Kosten + Financiering'!$R$14</definedName>
    <definedName name="Subsidie_EO_DN8">'Begroting Kosten + Financiering'!$R$15</definedName>
    <definedName name="Subsidie_EO_DN9">'Begroting Kosten + Financiering'!$R$16</definedName>
    <definedName name="Subsidie_EO_Tot">'Begroting Kosten + Financiering'!$R$28</definedName>
    <definedName name="Subsidie_FO_DN1">'Begroting Kosten + Financiering'!$P$8</definedName>
    <definedName name="Subsidie_FO_DN10">'Begroting Kosten + Financiering'!$P$17</definedName>
    <definedName name="Subsidie_FO_DN11">'Begroting Kosten + Financiering'!$P$18</definedName>
    <definedName name="Subsidie_FO_DN12">'Begroting Kosten + Financiering'!$P$19</definedName>
    <definedName name="Subsidie_FO_DN13">'Begroting Kosten + Financiering'!$P$20</definedName>
    <definedName name="Subsidie_FO_DN14">'Begroting Kosten + Financiering'!$P$21</definedName>
    <definedName name="Subsidie_FO_DN15">'Begroting Kosten + Financiering'!$P$22</definedName>
    <definedName name="Subsidie_FO_DN16">'Begroting Kosten + Financiering'!$P$23</definedName>
    <definedName name="Subsidie_FO_DN17">'Begroting Kosten + Financiering'!$P$24</definedName>
    <definedName name="Subsidie_FO_DN18">'Begroting Kosten + Financiering'!$P$25</definedName>
    <definedName name="Subsidie_FO_DN19">'Begroting Kosten + Financiering'!$P$26</definedName>
    <definedName name="Subsidie_FO_DN2">'Begroting Kosten + Financiering'!$P$9</definedName>
    <definedName name="Subsidie_FO_DN20">'Begroting Kosten + Financiering'!$P$27</definedName>
    <definedName name="Subsidie_FO_DN3">'Begroting Kosten + Financiering'!$P$10</definedName>
    <definedName name="Subsidie_FO_DN4">'Begroting Kosten + Financiering'!$P$11</definedName>
    <definedName name="Subsidie_FO_DN5">'Begroting Kosten + Financiering'!$P$12</definedName>
    <definedName name="Subsidie_FO_DN6">'Begroting Kosten + Financiering'!$P$13</definedName>
    <definedName name="Subsidie_FO_DN7">'Begroting Kosten + Financiering'!$P$14</definedName>
    <definedName name="Subsidie_FO_DN8">'Begroting Kosten + Financiering'!$P$15</definedName>
    <definedName name="Subsidie_FO_DN9">'Begroting Kosten + Financiering'!$P$16</definedName>
    <definedName name="Subsidie_FO_Tot">'Begroting Kosten + Financiering'!$P$28</definedName>
    <definedName name="Subsidie_instrument">'Basisgegevens Aanvraag'!$B$3</definedName>
    <definedName name="Subsidie_IO_DN1">'Begroting Kosten + Financiering'!$Q$8</definedName>
    <definedName name="Subsidie_IO_DN10">'Begroting Kosten + Financiering'!$Q$17</definedName>
    <definedName name="Subsidie_IO_DN11">'Begroting Kosten + Financiering'!$Q$18</definedName>
    <definedName name="Subsidie_IO_DN12">'Begroting Kosten + Financiering'!$Q$19</definedName>
    <definedName name="Subsidie_IO_DN13">'Begroting Kosten + Financiering'!$Q$20</definedName>
    <definedName name="Subsidie_IO_DN14">'Begroting Kosten + Financiering'!$Q$21</definedName>
    <definedName name="Subsidie_IO_DN15">'Begroting Kosten + Financiering'!$Q$22</definedName>
    <definedName name="Subsidie_IO_DN16">'Begroting Kosten + Financiering'!$Q$23</definedName>
    <definedName name="Subsidie_IO_DN17">'Begroting Kosten + Financiering'!$Q$24</definedName>
    <definedName name="Subsidie_IO_DN18">'Begroting Kosten + Financiering'!$Q$25</definedName>
    <definedName name="Subsidie_IO_DN19">'Begroting Kosten + Financiering'!$Q$26</definedName>
    <definedName name="Subsidie_IO_DN2">'Begroting Kosten + Financiering'!$Q$9</definedName>
    <definedName name="Subsidie_IO_DN20">'Begroting Kosten + Financiering'!$Q$27</definedName>
    <definedName name="Subsidie_IO_DN3">'Begroting Kosten + Financiering'!$Q$10</definedName>
    <definedName name="Subsidie_IO_DN4">'Begroting Kosten + Financiering'!$Q$11</definedName>
    <definedName name="Subsidie_IO_DN5">'Begroting Kosten + Financiering'!$Q$12</definedName>
    <definedName name="Subsidie_IO_DN6">'Begroting Kosten + Financiering'!$Q$13</definedName>
    <definedName name="Subsidie_IO_DN7">'Begroting Kosten + Financiering'!$Q$14</definedName>
    <definedName name="Subsidie_IO_DN8">'Begroting Kosten + Financiering'!$Q$15</definedName>
    <definedName name="Subsidie_IO_DN9">'Begroting Kosten + Financiering'!$Q$16</definedName>
    <definedName name="Subsidie_IO_Tot">'Begroting Kosten + Financiering'!$Q$28</definedName>
    <definedName name="Subsidie_Tot">'Begroting Kosten + Financiering'!$S$28</definedName>
    <definedName name="Type_Organisatie" localSheetId="4">'Deelnemer 1 - Penvoerder'!$B$6</definedName>
    <definedName name="Type_Organisatie" localSheetId="13">'Deelnemer 10'!$B$6</definedName>
    <definedName name="Type_Organisatie" localSheetId="14">'Deelnemer 11'!$B$6</definedName>
    <definedName name="Type_Organisatie" localSheetId="15">'Deelnemer 12'!$B$6</definedName>
    <definedName name="Type_Organisatie" localSheetId="16">'Deelnemer 13'!$B$6</definedName>
    <definedName name="Type_Organisatie" localSheetId="17">'Deelnemer 14'!$B$6</definedName>
    <definedName name="Type_Organisatie" localSheetId="18">'Deelnemer 15'!$B$6</definedName>
    <definedName name="Type_Organisatie" localSheetId="19">'Deelnemer 16'!$B$6</definedName>
    <definedName name="Type_Organisatie" localSheetId="20">'Deelnemer 17'!$B$6</definedName>
    <definedName name="Type_Organisatie" localSheetId="21">'Deelnemer 18'!$B$6</definedName>
    <definedName name="Type_Organisatie" localSheetId="22">'Deelnemer 19'!$B$6</definedName>
    <definedName name="Type_Organisatie" localSheetId="5">'Deelnemer 2'!$B$6</definedName>
    <definedName name="Type_Organisatie" localSheetId="23">'Deelnemer 20'!$B$6</definedName>
    <definedName name="Type_Organisatie" localSheetId="6">'Deelnemer 3'!$B$6</definedName>
    <definedName name="Type_Organisatie" localSheetId="7">'Deelnemer 4'!$B$6</definedName>
    <definedName name="Type_Organisatie" localSheetId="8">'Deelnemer 5'!$B$6</definedName>
    <definedName name="Type_Organisatie" localSheetId="9">'Deelnemer 6'!$B$6</definedName>
    <definedName name="Type_Organisatie" localSheetId="10">'Deelnemer 7'!$B$6</definedName>
    <definedName name="Type_Organisatie" localSheetId="11">'Deelnemer 8'!$B$6</definedName>
    <definedName name="Type_Organisatie" localSheetId="12">'Deelnemer 9'!$B$6</definedName>
    <definedName name="ValList_Deelnemers">'Validation Lists'!$D$2:$D$22</definedName>
    <definedName name="ValList_ja_epsilon">'Validation Lists'!$E$2:$E$2</definedName>
    <definedName name="ValList_ja_nee">'Validation Lists'!$F$2:$F$3</definedName>
    <definedName name="ValList_Kostensystematiek">'Validation Lists'!$C$2:$C$5</definedName>
    <definedName name="ValList_Subsidie_instrument">'Validation Lists'!$G$2:$G$7</definedName>
    <definedName name="ValList_Type_Organisatie">'Validation Lists'!$A$2:$A$12</definedName>
    <definedName name="Var_MaxSub_MKB_call_MKB">300000</definedName>
    <definedName name="Var_MaxSub_MKB_call_OO">150000</definedName>
    <definedName name="Var_MKB_Consortium">AND(Table_LuT_Deelnemers[MKB-Consortium - part?])</definedName>
    <definedName name="Var_Sub.instr.">_xlfn.XLOOKUP(Subsidie_instrument,Table_Sub.reg._Sub.instr.[Subsidie-instrument],Table_Sub.reg._Sub.instr.[Sub.instr.],"&lt;Not in LuT&gt;",0,1)</definedName>
    <definedName name="Var_Sub.reg.">_xlfn.XLOOKUP(Subsidie_instrument,Table_Sub.reg._Sub.instr.[Subsidie-instrument],Table_Sub.reg._Sub.instr.[Sub.reg.],"&lt;Not in LuT&gt;",0,1)</definedName>
    <definedName name="Vaste_uurtarief">'Validation Lists'!$C$5</definedName>
    <definedName name="Versienummer">'Portal Checks'!$C$3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42" l="1"/>
  <c r="X2" i="10"/>
  <c r="X3" i="10"/>
  <c r="X4" i="10"/>
  <c r="X5" i="10"/>
  <c r="X6" i="10"/>
  <c r="X7" i="10"/>
  <c r="X8" i="10"/>
  <c r="X9" i="10"/>
  <c r="X10" i="10"/>
  <c r="X11" i="10"/>
  <c r="X12" i="10"/>
  <c r="X13" i="10"/>
  <c r="X14" i="10"/>
  <c r="X15" i="10"/>
  <c r="X16" i="10"/>
  <c r="X17" i="10"/>
  <c r="X18" i="10"/>
  <c r="X19" i="10"/>
  <c r="X20" i="10"/>
  <c r="X21" i="10"/>
  <c r="O2" i="10"/>
  <c r="O3" i="10"/>
  <c r="O4" i="10"/>
  <c r="O5" i="10"/>
  <c r="O6" i="10"/>
  <c r="O7" i="10"/>
  <c r="O8" i="10"/>
  <c r="O9" i="10"/>
  <c r="O10" i="10"/>
  <c r="O11" i="10"/>
  <c r="O12" i="10"/>
  <c r="O13" i="10"/>
  <c r="O14" i="10"/>
  <c r="O15" i="10"/>
  <c r="O16" i="10"/>
  <c r="O17" i="10"/>
  <c r="O18" i="10"/>
  <c r="O19" i="10"/>
  <c r="O20" i="10"/>
  <c r="O21" i="10"/>
  <c r="B14" i="28"/>
  <c r="A14" i="28" s="1"/>
  <c r="B13" i="28"/>
  <c r="A13" i="28"/>
  <c r="B12" i="28"/>
  <c r="A12" i="28" s="1"/>
  <c r="B11" i="28"/>
  <c r="A11" i="28"/>
  <c r="B42" i="28"/>
  <c r="A42" i="28" s="1"/>
  <c r="B41" i="28"/>
  <c r="A41" i="28"/>
  <c r="B37" i="28"/>
  <c r="A37" i="28" s="1"/>
  <c r="B38" i="28"/>
  <c r="A38" i="28" s="1"/>
  <c r="B39" i="28"/>
  <c r="A39" i="28" s="1"/>
  <c r="B40" i="28"/>
  <c r="A40" i="28" s="1"/>
  <c r="B43" i="28"/>
  <c r="A43" i="28" s="1"/>
  <c r="B44" i="28"/>
  <c r="A44" i="28" s="1"/>
  <c r="B45" i="28"/>
  <c r="A45" i="28" s="1"/>
  <c r="B46" i="28"/>
  <c r="A46" i="28" s="1"/>
  <c r="B30" i="28"/>
  <c r="A30" i="28" s="1"/>
  <c r="B26" i="28"/>
  <c r="A26" i="28" s="1"/>
  <c r="B22" i="28"/>
  <c r="A22" i="28"/>
  <c r="B18" i="28"/>
  <c r="A18" i="28" s="1"/>
  <c r="B10" i="28"/>
  <c r="A10" i="28" s="1"/>
  <c r="B6" i="28"/>
  <c r="A6" i="28" s="1"/>
  <c r="B27" i="28"/>
  <c r="A27" i="28" s="1"/>
  <c r="B23" i="28"/>
  <c r="A23" i="28" s="1"/>
  <c r="B19" i="28"/>
  <c r="A19" i="28" s="1"/>
  <c r="B15" i="28"/>
  <c r="A15" i="28" s="1"/>
  <c r="B7" i="28"/>
  <c r="A7" i="28" s="1"/>
  <c r="B3" i="28"/>
  <c r="A3" i="28" s="1"/>
  <c r="K11" i="28"/>
  <c r="J11" i="28" s="1"/>
  <c r="K10" i="28"/>
  <c r="J10" i="28" s="1"/>
  <c r="K9" i="28"/>
  <c r="J9" i="28" s="1"/>
  <c r="K8" i="28"/>
  <c r="J8" i="28" s="1"/>
  <c r="K5" i="28"/>
  <c r="J5" i="28" s="1"/>
  <c r="K3" i="28" l="1"/>
  <c r="J3" i="28" s="1"/>
  <c r="K4" i="28"/>
  <c r="J4" i="28" s="1"/>
  <c r="K6" i="28"/>
  <c r="J6" i="28" s="1"/>
  <c r="K7" i="28"/>
  <c r="J7" i="28" s="1"/>
  <c r="J13" i="13" l="1"/>
  <c r="J22" i="15"/>
  <c r="J21" i="15"/>
  <c r="J20" i="15"/>
  <c r="J19" i="15"/>
  <c r="J18" i="15"/>
  <c r="J17" i="15"/>
  <c r="J16" i="15"/>
  <c r="J15" i="15"/>
  <c r="J14" i="15"/>
  <c r="J13" i="15"/>
  <c r="J22" i="16"/>
  <c r="J21" i="16"/>
  <c r="J20" i="16"/>
  <c r="J19" i="16"/>
  <c r="J18" i="16"/>
  <c r="J17" i="16"/>
  <c r="J16" i="16"/>
  <c r="J15" i="16"/>
  <c r="J14" i="16"/>
  <c r="J13" i="16"/>
  <c r="J22" i="18"/>
  <c r="J21" i="18"/>
  <c r="J20" i="18"/>
  <c r="J19" i="18"/>
  <c r="J18" i="18"/>
  <c r="J17" i="18"/>
  <c r="J16" i="18"/>
  <c r="J15" i="18"/>
  <c r="J14" i="18"/>
  <c r="J13" i="18"/>
  <c r="J22" i="19"/>
  <c r="J21" i="19"/>
  <c r="J20" i="19"/>
  <c r="J19" i="19"/>
  <c r="J18" i="19"/>
  <c r="J17" i="19"/>
  <c r="J16" i="19"/>
  <c r="J15" i="19"/>
  <c r="J14" i="19"/>
  <c r="J13" i="19"/>
  <c r="J22" i="20"/>
  <c r="J21" i="20"/>
  <c r="J20" i="20"/>
  <c r="J19" i="20"/>
  <c r="J18" i="20"/>
  <c r="J17" i="20"/>
  <c r="J16" i="20"/>
  <c r="J15" i="20"/>
  <c r="J14" i="20"/>
  <c r="J13" i="20"/>
  <c r="J22" i="21"/>
  <c r="J21" i="21"/>
  <c r="J20" i="21"/>
  <c r="J19" i="21"/>
  <c r="J18" i="21"/>
  <c r="J17" i="21"/>
  <c r="J16" i="21"/>
  <c r="J15" i="21"/>
  <c r="J14" i="21"/>
  <c r="J13" i="21"/>
  <c r="J22" i="22"/>
  <c r="J21" i="22"/>
  <c r="J20" i="22"/>
  <c r="J19" i="22"/>
  <c r="J18" i="22"/>
  <c r="J17" i="22"/>
  <c r="J16" i="22"/>
  <c r="J15" i="22"/>
  <c r="J14" i="22"/>
  <c r="J13" i="22"/>
  <c r="J22" i="23"/>
  <c r="J21" i="23"/>
  <c r="J20" i="23"/>
  <c r="J19" i="23"/>
  <c r="J18" i="23"/>
  <c r="J17" i="23"/>
  <c r="J16" i="23"/>
  <c r="J15" i="23"/>
  <c r="J14" i="23"/>
  <c r="J13" i="23"/>
  <c r="J22" i="30"/>
  <c r="J21" i="30"/>
  <c r="J20" i="30"/>
  <c r="J19" i="30"/>
  <c r="J18" i="30"/>
  <c r="J17" i="30"/>
  <c r="J16" i="30"/>
  <c r="J15" i="30"/>
  <c r="J14" i="30"/>
  <c r="J13" i="30"/>
  <c r="J22" i="31"/>
  <c r="J21" i="31"/>
  <c r="J20" i="31"/>
  <c r="J19" i="31"/>
  <c r="J18" i="31"/>
  <c r="J17" i="31"/>
  <c r="J16" i="31"/>
  <c r="J15" i="31"/>
  <c r="J14" i="31"/>
  <c r="J13" i="31"/>
  <c r="J22" i="32"/>
  <c r="J21" i="32"/>
  <c r="J20" i="32"/>
  <c r="J19" i="32"/>
  <c r="J18" i="32"/>
  <c r="J17" i="32"/>
  <c r="J16" i="32"/>
  <c r="J15" i="32"/>
  <c r="J14" i="32"/>
  <c r="J13" i="32"/>
  <c r="J22" i="33"/>
  <c r="J21" i="33"/>
  <c r="J20" i="33"/>
  <c r="J19" i="33"/>
  <c r="J18" i="33"/>
  <c r="J17" i="33"/>
  <c r="J16" i="33"/>
  <c r="J15" i="33"/>
  <c r="J14" i="33"/>
  <c r="J13" i="33"/>
  <c r="J22" i="34"/>
  <c r="J21" i="34"/>
  <c r="J20" i="34"/>
  <c r="J19" i="34"/>
  <c r="J18" i="34"/>
  <c r="J17" i="34"/>
  <c r="J16" i="34"/>
  <c r="J15" i="34"/>
  <c r="J14" i="34"/>
  <c r="J13" i="34"/>
  <c r="J22" i="35"/>
  <c r="J21" i="35"/>
  <c r="J20" i="35"/>
  <c r="J19" i="35"/>
  <c r="J18" i="35"/>
  <c r="J17" i="35"/>
  <c r="J16" i="35"/>
  <c r="J15" i="35"/>
  <c r="J14" i="35"/>
  <c r="J13" i="35"/>
  <c r="J22" i="36"/>
  <c r="J21" i="36"/>
  <c r="J20" i="36"/>
  <c r="J19" i="36"/>
  <c r="J18" i="36"/>
  <c r="J17" i="36"/>
  <c r="J16" i="36"/>
  <c r="J15" i="36"/>
  <c r="J14" i="36"/>
  <c r="J13" i="36"/>
  <c r="J22" i="37"/>
  <c r="J21" i="37"/>
  <c r="J20" i="37"/>
  <c r="J19" i="37"/>
  <c r="J18" i="37"/>
  <c r="J17" i="37"/>
  <c r="J16" i="37"/>
  <c r="J15" i="37"/>
  <c r="J14" i="37"/>
  <c r="J13" i="37"/>
  <c r="J22" i="38"/>
  <c r="J21" i="38"/>
  <c r="J20" i="38"/>
  <c r="J19" i="38"/>
  <c r="J18" i="38"/>
  <c r="J17" i="38"/>
  <c r="J16" i="38"/>
  <c r="J15" i="38"/>
  <c r="J14" i="38"/>
  <c r="J13" i="38"/>
  <c r="J22" i="39"/>
  <c r="J21" i="39"/>
  <c r="J20" i="39"/>
  <c r="J19" i="39"/>
  <c r="J18" i="39"/>
  <c r="J17" i="39"/>
  <c r="J16" i="39"/>
  <c r="J15" i="39"/>
  <c r="J14" i="39"/>
  <c r="J13" i="39"/>
  <c r="J22" i="13"/>
  <c r="J21" i="13"/>
  <c r="J20" i="13"/>
  <c r="J19" i="13"/>
  <c r="J18" i="13"/>
  <c r="J17" i="13"/>
  <c r="J16" i="13"/>
  <c r="J15" i="13"/>
  <c r="J14" i="13"/>
  <c r="J22" i="5"/>
  <c r="J21" i="5"/>
  <c r="J20" i="5"/>
  <c r="J19" i="5"/>
  <c r="J18" i="5"/>
  <c r="J17" i="5"/>
  <c r="J16" i="5"/>
  <c r="J15" i="5"/>
  <c r="J14" i="5"/>
  <c r="J13" i="5"/>
  <c r="F16" i="29"/>
  <c r="J23" i="35" l="1"/>
  <c r="J23" i="13"/>
  <c r="J23" i="32"/>
  <c r="J23" i="21"/>
  <c r="J23" i="36"/>
  <c r="J23" i="38"/>
  <c r="J23" i="23"/>
  <c r="J23" i="31"/>
  <c r="J23" i="34"/>
  <c r="J23" i="37"/>
  <c r="J23" i="20"/>
  <c r="J23" i="39"/>
  <c r="J23" i="30"/>
  <c r="J23" i="22"/>
  <c r="J23" i="33"/>
  <c r="J23" i="19"/>
  <c r="J23" i="18"/>
  <c r="J23" i="15"/>
  <c r="J23" i="16"/>
  <c r="J23" i="5"/>
  <c r="AM2" i="10" a="1"/>
  <c r="AM19" i="10" a="1"/>
  <c r="AM8" i="10" a="1"/>
  <c r="AM4" i="10" a="1"/>
  <c r="AM9" i="10" a="1"/>
  <c r="AM14" i="10" a="1"/>
  <c r="AM5" i="10" a="1"/>
  <c r="AM7" i="10" a="1"/>
  <c r="AM18" i="10" a="1"/>
  <c r="AM15" i="10" a="1"/>
  <c r="AM13" i="10" a="1"/>
  <c r="AM21" i="10" a="1"/>
  <c r="AM3" i="10" a="1"/>
  <c r="AM6" i="10" a="1"/>
  <c r="AM10" i="10" a="1"/>
  <c r="AM20" i="10" a="1"/>
  <c r="AM16" i="10" a="1"/>
  <c r="AM17" i="10" a="1"/>
  <c r="AM11" i="10" a="1"/>
  <c r="AM12" i="10" a="1"/>
  <c r="AM13" i="10" l="1"/>
  <c r="AM2" i="10"/>
  <c r="AM5" i="10"/>
  <c r="AM3" i="10"/>
  <c r="AM6" i="10"/>
  <c r="AM18" i="10"/>
  <c r="AM16" i="10"/>
  <c r="AM4" i="10"/>
  <c r="AM21" i="10"/>
  <c r="AM10" i="10"/>
  <c r="AM14" i="10"/>
  <c r="AM12" i="10"/>
  <c r="AM17" i="10"/>
  <c r="AM15" i="10"/>
  <c r="AM11" i="10"/>
  <c r="AM8" i="10"/>
  <c r="AM20" i="10"/>
  <c r="AM19" i="10"/>
  <c r="AM9" i="10"/>
  <c r="AM7" i="10"/>
  <c r="F37" i="29"/>
  <c r="F13" i="29"/>
  <c r="C30" i="29"/>
  <c r="Z2" i="10"/>
  <c r="H4" i="1" s="1"/>
  <c r="Z3" i="10"/>
  <c r="Z4" i="10"/>
  <c r="Z5" i="10"/>
  <c r="Z6" i="10"/>
  <c r="Z7" i="10"/>
  <c r="Z8" i="10"/>
  <c r="Z9" i="10"/>
  <c r="Z10" i="10"/>
  <c r="Z11" i="10"/>
  <c r="Z12" i="10"/>
  <c r="Z13" i="10"/>
  <c r="Z14" i="10"/>
  <c r="Z15" i="10"/>
  <c r="Z16" i="10"/>
  <c r="Z17" i="10"/>
  <c r="Z18" i="10"/>
  <c r="Z19" i="10"/>
  <c r="Z20" i="10"/>
  <c r="Z21" i="10"/>
  <c r="F3" i="29"/>
  <c r="H3" i="1" a="1"/>
  <c r="H3" i="1" s="1"/>
  <c r="AM22" i="10" l="1"/>
  <c r="Z22" i="10"/>
  <c r="AU2" i="24" a="1"/>
  <c r="AU2" i="24" s="1"/>
  <c r="AU3" i="24" a="1"/>
  <c r="AU3" i="24" s="1"/>
  <c r="AU4" i="24" a="1"/>
  <c r="AU4" i="24" s="1"/>
  <c r="AU5" i="24" a="1"/>
  <c r="AU5" i="24" s="1"/>
  <c r="AU6" i="24" a="1"/>
  <c r="AU6" i="24" s="1"/>
  <c r="AU7" i="24" a="1"/>
  <c r="AU7" i="24" s="1"/>
  <c r="AU8" i="24" a="1"/>
  <c r="AU8" i="24" s="1"/>
  <c r="AU9" i="24" a="1"/>
  <c r="AU9" i="24" s="1"/>
  <c r="AU10" i="24" a="1"/>
  <c r="AU10" i="24" s="1"/>
  <c r="AU11" i="24" a="1"/>
  <c r="AU11" i="24" s="1"/>
  <c r="AU12" i="24" a="1"/>
  <c r="AU12" i="24" s="1"/>
  <c r="AU13" i="24" a="1"/>
  <c r="AU13" i="24" s="1"/>
  <c r="AU14" i="24" a="1"/>
  <c r="AU14" i="24" s="1"/>
  <c r="AU15" i="24" a="1"/>
  <c r="AU15" i="24" s="1"/>
  <c r="AU16" i="24" a="1"/>
  <c r="AU16" i="24" s="1"/>
  <c r="AU17" i="24" a="1"/>
  <c r="AU17" i="24" s="1"/>
  <c r="AU18" i="24" a="1"/>
  <c r="AU18" i="24" s="1"/>
  <c r="AU19" i="24" a="1"/>
  <c r="AU19" i="24" s="1"/>
  <c r="AU20" i="24" a="1"/>
  <c r="AU20" i="24" s="1"/>
  <c r="AU21" i="24" a="1"/>
  <c r="AU21" i="24" s="1"/>
  <c r="AU22" i="24" a="1"/>
  <c r="AU22" i="24" s="1"/>
  <c r="AU23" i="24" a="1"/>
  <c r="AU23" i="24" s="1"/>
  <c r="AU24" i="24" a="1"/>
  <c r="AU24" i="24" s="1"/>
  <c r="AU25" i="24" a="1"/>
  <c r="AU25" i="24" s="1"/>
  <c r="AU26" i="24" a="1"/>
  <c r="AU26" i="24" s="1"/>
  <c r="AU27" i="24" a="1"/>
  <c r="AU27" i="24" s="1"/>
  <c r="AU28" i="24" a="1"/>
  <c r="AU28" i="24" s="1"/>
  <c r="AU29" i="24" a="1"/>
  <c r="AU29" i="24" s="1"/>
  <c r="AU30" i="24" a="1"/>
  <c r="AU30" i="24" s="1"/>
  <c r="AU31" i="24" a="1"/>
  <c r="AU31" i="24" s="1"/>
  <c r="AU32" i="24" a="1"/>
  <c r="AU32" i="24" s="1"/>
  <c r="AU33" i="24" a="1"/>
  <c r="AU33" i="24" s="1"/>
  <c r="AU34" i="24" a="1"/>
  <c r="AU34" i="24" s="1"/>
  <c r="AU35" i="24" a="1"/>
  <c r="AU35" i="24" s="1"/>
  <c r="AU36" i="24" a="1"/>
  <c r="AU36" i="24" s="1"/>
  <c r="AU37" i="24" a="1"/>
  <c r="AU37" i="24" s="1"/>
  <c r="AU38" i="24" a="1"/>
  <c r="AU38" i="24" s="1"/>
  <c r="AU39" i="24" a="1"/>
  <c r="AU39" i="24" s="1"/>
  <c r="AU40" i="24" a="1"/>
  <c r="AU40" i="24" s="1"/>
  <c r="AU41" i="24" a="1"/>
  <c r="AU41" i="24" s="1"/>
  <c r="AT2" i="24" a="1"/>
  <c r="AT2" i="24" s="1"/>
  <c r="AT3" i="24" a="1"/>
  <c r="AT3" i="24" s="1"/>
  <c r="AT4" i="24" a="1"/>
  <c r="AT4" i="24" s="1"/>
  <c r="AT5" i="24" a="1"/>
  <c r="AT5" i="24" s="1"/>
  <c r="AT6" i="24" a="1"/>
  <c r="AT6" i="24" s="1"/>
  <c r="AT7" i="24" a="1"/>
  <c r="AT7" i="24" s="1"/>
  <c r="AT8" i="24" a="1"/>
  <c r="AT8" i="24" s="1"/>
  <c r="AT9" i="24" a="1"/>
  <c r="AT9" i="24" s="1"/>
  <c r="AT10" i="24" a="1"/>
  <c r="AT10" i="24" s="1"/>
  <c r="AT11" i="24" a="1"/>
  <c r="AT11" i="24" s="1"/>
  <c r="AT12" i="24" a="1"/>
  <c r="AT12" i="24" s="1"/>
  <c r="AT13" i="24" a="1"/>
  <c r="AT13" i="24" s="1"/>
  <c r="AT14" i="24" a="1"/>
  <c r="AT14" i="24" s="1"/>
  <c r="AT15" i="24" a="1"/>
  <c r="AT15" i="24" s="1"/>
  <c r="AT16" i="24" a="1"/>
  <c r="AT16" i="24" s="1"/>
  <c r="AT17" i="24" a="1"/>
  <c r="AT17" i="24" s="1"/>
  <c r="AT18" i="24" a="1"/>
  <c r="AT18" i="24" s="1"/>
  <c r="AT19" i="24" a="1"/>
  <c r="AT19" i="24" s="1"/>
  <c r="AT20" i="24" a="1"/>
  <c r="AT20" i="24" s="1"/>
  <c r="AT21" i="24" a="1"/>
  <c r="AT21" i="24" s="1"/>
  <c r="AT42" i="24" a="1"/>
  <c r="AT42" i="24" s="1"/>
  <c r="AT43" i="24" a="1"/>
  <c r="AT43" i="24" s="1"/>
  <c r="AT44" i="24" a="1"/>
  <c r="AT44" i="24" s="1"/>
  <c r="AT45" i="24" a="1"/>
  <c r="AT45" i="24" s="1"/>
  <c r="AT46" i="24" a="1"/>
  <c r="AT46" i="24" s="1"/>
  <c r="AT47" i="24" a="1"/>
  <c r="AT47" i="24" s="1"/>
  <c r="AT48" i="24" a="1"/>
  <c r="AT48" i="24" s="1"/>
  <c r="AT49" i="24" a="1"/>
  <c r="AT49" i="24" s="1"/>
  <c r="AT50" i="24" a="1"/>
  <c r="AT50" i="24" s="1"/>
  <c r="AT51" i="24" a="1"/>
  <c r="AT51" i="24" s="1"/>
  <c r="AT52" i="24" a="1"/>
  <c r="AT52" i="24" s="1"/>
  <c r="AT53" i="24" a="1"/>
  <c r="AT53" i="24" s="1"/>
  <c r="AT54" i="24" a="1"/>
  <c r="AT54" i="24" s="1"/>
  <c r="AT55" i="24" a="1"/>
  <c r="AT55" i="24" s="1"/>
  <c r="AT56" i="24" a="1"/>
  <c r="AT56" i="24" s="1"/>
  <c r="AT57" i="24" a="1"/>
  <c r="AT57" i="24" s="1"/>
  <c r="AT58" i="24" a="1"/>
  <c r="AT58" i="24" s="1"/>
  <c r="AT59" i="24" a="1"/>
  <c r="AT59" i="24" s="1"/>
  <c r="AT60" i="24" a="1"/>
  <c r="AT60" i="24" s="1"/>
  <c r="AT61" i="24" a="1"/>
  <c r="AT61" i="24" s="1"/>
  <c r="AS22" i="24" a="1"/>
  <c r="AS22" i="24" s="1"/>
  <c r="AS23" i="24" a="1"/>
  <c r="AS23" i="24" s="1"/>
  <c r="AS24" i="24" a="1"/>
  <c r="AS24" i="24" s="1"/>
  <c r="AS25" i="24" a="1"/>
  <c r="AS25" i="24" s="1"/>
  <c r="AS26" i="24" a="1"/>
  <c r="AS26" i="24" s="1"/>
  <c r="AS27" i="24" a="1"/>
  <c r="AS27" i="24" s="1"/>
  <c r="AS28" i="24" a="1"/>
  <c r="AS28" i="24" s="1"/>
  <c r="AS29" i="24" a="1"/>
  <c r="AS29" i="24" s="1"/>
  <c r="AS30" i="24" a="1"/>
  <c r="AS30" i="24" s="1"/>
  <c r="AS31" i="24" a="1"/>
  <c r="AS31" i="24" s="1"/>
  <c r="AS32" i="24" a="1"/>
  <c r="AS32" i="24" s="1"/>
  <c r="AS33" i="24" a="1"/>
  <c r="AS33" i="24" s="1"/>
  <c r="AS34" i="24" a="1"/>
  <c r="AS34" i="24" s="1"/>
  <c r="AS35" i="24" a="1"/>
  <c r="AS35" i="24" s="1"/>
  <c r="AS36" i="24" a="1"/>
  <c r="AS36" i="24" s="1"/>
  <c r="AS37" i="24" a="1"/>
  <c r="AS37" i="24" s="1"/>
  <c r="AS38" i="24" a="1"/>
  <c r="AS38" i="24" s="1"/>
  <c r="AS39" i="24" a="1"/>
  <c r="AS39" i="24" s="1"/>
  <c r="AS40" i="24" a="1"/>
  <c r="AS40" i="24" s="1"/>
  <c r="AS41" i="24" a="1"/>
  <c r="AS41" i="24" s="1"/>
  <c r="AS42" i="24" a="1"/>
  <c r="AS42" i="24" s="1"/>
  <c r="AS43" i="24" a="1"/>
  <c r="AS43" i="24" s="1"/>
  <c r="AS44" i="24" a="1"/>
  <c r="AS44" i="24" s="1"/>
  <c r="AS45" i="24" a="1"/>
  <c r="AS45" i="24" s="1"/>
  <c r="AS46" i="24" a="1"/>
  <c r="AS46" i="24" s="1"/>
  <c r="AS47" i="24" a="1"/>
  <c r="AS47" i="24" s="1"/>
  <c r="AS48" i="24" a="1"/>
  <c r="AS48" i="24" s="1"/>
  <c r="AS49" i="24" a="1"/>
  <c r="AS49" i="24" s="1"/>
  <c r="AS50" i="24" a="1"/>
  <c r="AS50" i="24" s="1"/>
  <c r="AS51" i="24" a="1"/>
  <c r="AS51" i="24" s="1"/>
  <c r="AS52" i="24" a="1"/>
  <c r="AS52" i="24" s="1"/>
  <c r="AS53" i="24" a="1"/>
  <c r="AS53" i="24" s="1"/>
  <c r="AS54" i="24" a="1"/>
  <c r="AS54" i="24" s="1"/>
  <c r="AS55" i="24" a="1"/>
  <c r="AS55" i="24" s="1"/>
  <c r="AS56" i="24" a="1"/>
  <c r="AS56" i="24" s="1"/>
  <c r="AS57" i="24" a="1"/>
  <c r="AS57" i="24" s="1"/>
  <c r="AS58" i="24" a="1"/>
  <c r="AS58" i="24" s="1"/>
  <c r="AS59" i="24" a="1"/>
  <c r="AS59" i="24" s="1"/>
  <c r="AS60" i="24" a="1"/>
  <c r="AS60" i="24" s="1"/>
  <c r="AS61" i="24" a="1"/>
  <c r="AS61" i="24" s="1"/>
  <c r="C28" i="29" l="1"/>
  <c r="B33" i="1" l="1"/>
  <c r="F21" i="29" l="1"/>
  <c r="F26" i="29"/>
  <c r="C29" i="29"/>
  <c r="C31" i="29"/>
  <c r="C33" i="29"/>
  <c r="C27" i="29"/>
  <c r="C25" i="29"/>
  <c r="C24" i="29"/>
  <c r="C23" i="29"/>
  <c r="C22" i="29"/>
  <c r="C20" i="29"/>
  <c r="C19" i="29"/>
  <c r="F2" i="29"/>
  <c r="F4" i="29"/>
  <c r="F5" i="29"/>
  <c r="F6" i="29"/>
  <c r="F7" i="29"/>
  <c r="F8" i="29"/>
  <c r="F9" i="29"/>
  <c r="F10" i="29"/>
  <c r="F11" i="29"/>
  <c r="F12" i="29"/>
  <c r="F14" i="29"/>
  <c r="F15" i="29"/>
  <c r="F17" i="29"/>
  <c r="F18" i="29"/>
  <c r="F38" i="29"/>
  <c r="F32" i="29"/>
  <c r="F34" i="29"/>
  <c r="F35" i="29"/>
  <c r="F36" i="29"/>
  <c r="W27" i="8"/>
  <c r="V27" i="8"/>
  <c r="U27" i="8"/>
  <c r="W26" i="8"/>
  <c r="V26" i="8"/>
  <c r="U26" i="8"/>
  <c r="W25" i="8"/>
  <c r="V25" i="8"/>
  <c r="U25" i="8"/>
  <c r="W24" i="8"/>
  <c r="V24" i="8"/>
  <c r="U24" i="8"/>
  <c r="W23" i="8"/>
  <c r="V23" i="8"/>
  <c r="U23" i="8"/>
  <c r="W22" i="8"/>
  <c r="V22" i="8"/>
  <c r="U22" i="8"/>
  <c r="W21" i="8"/>
  <c r="V21" i="8"/>
  <c r="U21" i="8"/>
  <c r="W20" i="8"/>
  <c r="V20" i="8"/>
  <c r="U20" i="8"/>
  <c r="W19" i="8"/>
  <c r="V19" i="8"/>
  <c r="U19" i="8"/>
  <c r="W18" i="8"/>
  <c r="V18" i="8"/>
  <c r="U18" i="8"/>
  <c r="W17" i="8"/>
  <c r="U17" i="8"/>
  <c r="W16" i="8"/>
  <c r="V16" i="8"/>
  <c r="U16" i="8"/>
  <c r="W15" i="8"/>
  <c r="V15" i="8"/>
  <c r="W14" i="8"/>
  <c r="U14" i="8"/>
  <c r="W13" i="8"/>
  <c r="V13" i="8"/>
  <c r="U13" i="8"/>
  <c r="W12" i="8"/>
  <c r="W11" i="8"/>
  <c r="W10" i="8"/>
  <c r="W9" i="8"/>
  <c r="U9" i="8"/>
  <c r="W8" i="8"/>
  <c r="G13" i="20"/>
  <c r="G13" i="21"/>
  <c r="G13" i="31"/>
  <c r="G13" i="30"/>
  <c r="BQ4" i="10" a="1"/>
  <c r="BQ7" i="10" a="1"/>
  <c r="BQ16" i="10" a="1"/>
  <c r="BQ14" i="10" a="1"/>
  <c r="BQ15" i="10" a="1"/>
  <c r="BQ21" i="10" a="1"/>
  <c r="BQ19" i="10" a="1"/>
  <c r="BQ13" i="10" a="1"/>
  <c r="BQ11" i="10" a="1"/>
  <c r="BQ6" i="10" a="1"/>
  <c r="BQ17" i="10" a="1"/>
  <c r="BQ12" i="10" a="1"/>
  <c r="BQ20" i="10" a="1"/>
  <c r="BQ18" i="10" a="1"/>
  <c r="BQ9" i="10" a="1"/>
  <c r="BQ5" i="10" a="1"/>
  <c r="BQ10" i="10" a="1"/>
  <c r="BQ8" i="10" a="1"/>
  <c r="BQ3" i="10" a="1"/>
  <c r="BQ21" i="10" l="1"/>
  <c r="L21" i="44" s="1"/>
  <c r="BQ13" i="10"/>
  <c r="L13" i="44" s="1"/>
  <c r="BQ9" i="10"/>
  <c r="L9" i="44" s="1"/>
  <c r="BQ17" i="10"/>
  <c r="L17" i="44" s="1"/>
  <c r="BQ20" i="10"/>
  <c r="L20" i="44" s="1"/>
  <c r="BQ16" i="10"/>
  <c r="L16" i="44" s="1"/>
  <c r="BQ12" i="10"/>
  <c r="L12" i="44" s="1"/>
  <c r="BQ8" i="10"/>
  <c r="L8" i="44" s="1"/>
  <c r="BQ4" i="10"/>
  <c r="L4" i="44" s="1"/>
  <c r="BQ5" i="10"/>
  <c r="L5" i="44" s="1"/>
  <c r="BQ19" i="10"/>
  <c r="L19" i="44" s="1"/>
  <c r="BQ15" i="10"/>
  <c r="L15" i="44" s="1"/>
  <c r="BQ11" i="10"/>
  <c r="L11" i="44" s="1"/>
  <c r="BQ7" i="10"/>
  <c r="L7" i="44" s="1"/>
  <c r="BQ3" i="10"/>
  <c r="L3" i="44" s="1"/>
  <c r="BQ18" i="10"/>
  <c r="L18" i="44" s="1"/>
  <c r="BQ14" i="10"/>
  <c r="L14" i="44" s="1"/>
  <c r="BQ10" i="10"/>
  <c r="L10" i="44" s="1"/>
  <c r="BQ6" i="10"/>
  <c r="L6" i="44" s="1"/>
  <c r="AR41" i="24" a="1"/>
  <c r="AR41" i="24" s="1"/>
  <c r="AQ41" i="24" a="1"/>
  <c r="AQ41" i="24" s="1"/>
  <c r="AO41" i="24" a="1"/>
  <c r="AO41" i="24" s="1"/>
  <c r="AN41" i="24" a="1"/>
  <c r="AN41" i="24" s="1"/>
  <c r="D41" i="24"/>
  <c r="C41" i="24"/>
  <c r="AR40" i="24" a="1"/>
  <c r="AR40" i="24" s="1"/>
  <c r="AQ40" i="24" a="1"/>
  <c r="AQ40" i="24" s="1"/>
  <c r="AO40" i="24" a="1"/>
  <c r="AO40" i="24" s="1"/>
  <c r="AN40" i="24" a="1"/>
  <c r="AN40" i="24" s="1"/>
  <c r="D40" i="24"/>
  <c r="C40" i="24"/>
  <c r="AR39" i="24" a="1"/>
  <c r="AR39" i="24" s="1"/>
  <c r="AQ39" i="24" a="1"/>
  <c r="AQ39" i="24" s="1"/>
  <c r="AO39" i="24" a="1"/>
  <c r="AO39" i="24" s="1"/>
  <c r="AN39" i="24" a="1"/>
  <c r="AN39" i="24" s="1"/>
  <c r="D39" i="24"/>
  <c r="C39" i="24"/>
  <c r="AR38" i="24" a="1"/>
  <c r="AR38" i="24" s="1"/>
  <c r="AQ38" i="24" a="1"/>
  <c r="AQ38" i="24" s="1"/>
  <c r="AO38" i="24" a="1"/>
  <c r="AO38" i="24" s="1"/>
  <c r="AN38" i="24" a="1"/>
  <c r="AN38" i="24" s="1"/>
  <c r="D38" i="24"/>
  <c r="C38" i="24"/>
  <c r="AR37" i="24" a="1"/>
  <c r="AR37" i="24" s="1"/>
  <c r="AQ37" i="24" a="1"/>
  <c r="AQ37" i="24" s="1"/>
  <c r="AO37" i="24" a="1"/>
  <c r="AO37" i="24" s="1"/>
  <c r="AN37" i="24" a="1"/>
  <c r="AN37" i="24" s="1"/>
  <c r="D37" i="24"/>
  <c r="C37" i="24"/>
  <c r="AR36" i="24" a="1"/>
  <c r="AR36" i="24" s="1"/>
  <c r="AQ36" i="24" a="1"/>
  <c r="AQ36" i="24" s="1"/>
  <c r="AO36" i="24" a="1"/>
  <c r="AO36" i="24" s="1"/>
  <c r="AN36" i="24" a="1"/>
  <c r="AN36" i="24" s="1"/>
  <c r="D36" i="24"/>
  <c r="C36" i="24"/>
  <c r="AR35" i="24" a="1"/>
  <c r="AR35" i="24" s="1"/>
  <c r="AQ35" i="24" a="1"/>
  <c r="AQ35" i="24" s="1"/>
  <c r="AO35" i="24" a="1"/>
  <c r="AO35" i="24" s="1"/>
  <c r="AN35" i="24" a="1"/>
  <c r="AN35" i="24" s="1"/>
  <c r="D35" i="24"/>
  <c r="C35" i="24"/>
  <c r="AR34" i="24" a="1"/>
  <c r="AR34" i="24" s="1"/>
  <c r="AQ34" i="24" a="1"/>
  <c r="AQ34" i="24" s="1"/>
  <c r="AO34" i="24" a="1"/>
  <c r="AO34" i="24" s="1"/>
  <c r="AN34" i="24" a="1"/>
  <c r="AN34" i="24" s="1"/>
  <c r="D34" i="24"/>
  <c r="C34" i="24"/>
  <c r="AR33" i="24" a="1"/>
  <c r="AR33" i="24" s="1"/>
  <c r="AQ33" i="24" a="1"/>
  <c r="AQ33" i="24" s="1"/>
  <c r="AO33" i="24" a="1"/>
  <c r="AO33" i="24" s="1"/>
  <c r="AN33" i="24" a="1"/>
  <c r="AN33" i="24" s="1"/>
  <c r="D33" i="24"/>
  <c r="C33" i="24"/>
  <c r="AR32" i="24" a="1"/>
  <c r="AR32" i="24" s="1"/>
  <c r="AQ32" i="24" a="1"/>
  <c r="AQ32" i="24" s="1"/>
  <c r="AO32" i="24" a="1"/>
  <c r="AO32" i="24" s="1"/>
  <c r="AN32" i="24" a="1"/>
  <c r="AN32" i="24" s="1"/>
  <c r="D32" i="24"/>
  <c r="C32" i="24"/>
  <c r="D21" i="24"/>
  <c r="C21" i="24"/>
  <c r="D20" i="24"/>
  <c r="C20" i="24"/>
  <c r="D19" i="24"/>
  <c r="C19" i="24"/>
  <c r="D18" i="24"/>
  <c r="C18" i="24"/>
  <c r="D17" i="24"/>
  <c r="C17" i="24"/>
  <c r="D16" i="24"/>
  <c r="C16" i="24"/>
  <c r="D15" i="24"/>
  <c r="C15" i="24"/>
  <c r="D14" i="24"/>
  <c r="C14" i="24"/>
  <c r="D13" i="24"/>
  <c r="C13" i="24"/>
  <c r="D12" i="24"/>
  <c r="C12" i="24"/>
  <c r="C52" i="24"/>
  <c r="C53" i="24"/>
  <c r="C54" i="24"/>
  <c r="C55" i="24"/>
  <c r="C56" i="24"/>
  <c r="C57" i="24"/>
  <c r="C58" i="24"/>
  <c r="C59" i="24"/>
  <c r="C60" i="24"/>
  <c r="C61" i="24"/>
  <c r="D52" i="24"/>
  <c r="D53" i="24"/>
  <c r="D54" i="24"/>
  <c r="D55" i="24"/>
  <c r="D56" i="24"/>
  <c r="D57" i="24"/>
  <c r="D58" i="24"/>
  <c r="D59" i="24"/>
  <c r="D60" i="24"/>
  <c r="D61" i="24"/>
  <c r="AN53" i="24" a="1"/>
  <c r="AN53" i="24" s="1"/>
  <c r="AN54" i="24" a="1"/>
  <c r="AN54" i="24" s="1"/>
  <c r="AN56" i="24" a="1"/>
  <c r="AN56" i="24" s="1"/>
  <c r="AN57" i="24" a="1"/>
  <c r="AN57" i="24" s="1"/>
  <c r="AN59" i="24" a="1"/>
  <c r="AN59" i="24" s="1"/>
  <c r="AN60" i="24" a="1"/>
  <c r="AN60" i="24" s="1"/>
  <c r="AO53" i="24" a="1"/>
  <c r="AO53" i="24" s="1"/>
  <c r="AO54" i="24" a="1"/>
  <c r="AO54" i="24" s="1"/>
  <c r="AO56" i="24" a="1"/>
  <c r="AO56" i="24" s="1"/>
  <c r="AO57" i="24" a="1"/>
  <c r="AO57" i="24" s="1"/>
  <c r="AO59" i="24" a="1"/>
  <c r="AO59" i="24" s="1"/>
  <c r="AO60" i="24" a="1"/>
  <c r="AO60" i="24" s="1"/>
  <c r="AQ53" i="24" a="1"/>
  <c r="AQ53" i="24" s="1"/>
  <c r="AQ54" i="24" a="1"/>
  <c r="AQ54" i="24" s="1"/>
  <c r="AQ56" i="24" a="1"/>
  <c r="AQ56" i="24" s="1"/>
  <c r="AQ57" i="24" a="1"/>
  <c r="AQ57" i="24" s="1"/>
  <c r="AQ59" i="24" a="1"/>
  <c r="AQ59" i="24" s="1"/>
  <c r="AQ60" i="24" a="1"/>
  <c r="AQ60" i="24" s="1"/>
  <c r="AR53" i="24" a="1"/>
  <c r="AR53" i="24" s="1"/>
  <c r="AR54" i="24" a="1"/>
  <c r="AR54" i="24" s="1"/>
  <c r="AR56" i="24" a="1"/>
  <c r="AR56" i="24" s="1"/>
  <c r="AR57" i="24" a="1"/>
  <c r="AR57" i="24" s="1"/>
  <c r="AR59" i="24" a="1"/>
  <c r="AR59" i="24" s="1"/>
  <c r="AR60" i="24" a="1"/>
  <c r="AR60" i="24" s="1"/>
  <c r="S12" i="10" a="1"/>
  <c r="S12" i="10" s="1"/>
  <c r="K12" i="10" s="1" a="1"/>
  <c r="K12" i="10" s="1"/>
  <c r="AA20" i="10"/>
  <c r="V20" i="10" a="1"/>
  <c r="V20" i="10" s="1"/>
  <c r="U20" i="10" a="1"/>
  <c r="U20" i="10" s="1"/>
  <c r="H20" i="10" s="1" a="1"/>
  <c r="H20" i="10" s="1"/>
  <c r="T20" i="10" a="1"/>
  <c r="T20" i="10" s="1"/>
  <c r="G20" i="10" s="1" a="1"/>
  <c r="G20" i="10" s="1"/>
  <c r="S20" i="10" a="1"/>
  <c r="S20" i="10" s="1"/>
  <c r="K20" i="10" s="1" a="1"/>
  <c r="K20" i="10" s="1"/>
  <c r="R20" i="10"/>
  <c r="Q20" i="10"/>
  <c r="Y20" i="10" s="1"/>
  <c r="P20" i="10"/>
  <c r="D20" i="10"/>
  <c r="AA19" i="10"/>
  <c r="V19" i="10" a="1"/>
  <c r="V19" i="10" s="1"/>
  <c r="U19" i="10" a="1"/>
  <c r="U19" i="10" s="1"/>
  <c r="H19" i="10" s="1" a="1"/>
  <c r="H19" i="10" s="1"/>
  <c r="T19" i="10" a="1"/>
  <c r="T19" i="10" s="1"/>
  <c r="G19" i="10" s="1" a="1"/>
  <c r="G19" i="10" s="1"/>
  <c r="S19" i="10" a="1"/>
  <c r="S19" i="10" s="1"/>
  <c r="K19" i="10" s="1" a="1"/>
  <c r="K19" i="10" s="1"/>
  <c r="R19" i="10"/>
  <c r="Q19" i="10"/>
  <c r="Y19" i="10" s="1"/>
  <c r="P19" i="10"/>
  <c r="D19" i="10"/>
  <c r="AA18" i="10"/>
  <c r="V18" i="10" a="1"/>
  <c r="V18" i="10" s="1"/>
  <c r="U18" i="10" a="1"/>
  <c r="U18" i="10" s="1"/>
  <c r="H18" i="10" s="1" a="1"/>
  <c r="H18" i="10" s="1"/>
  <c r="T18" i="10" a="1"/>
  <c r="T18" i="10" s="1"/>
  <c r="G18" i="10" s="1" a="1"/>
  <c r="G18" i="10" s="1"/>
  <c r="S18" i="10" a="1"/>
  <c r="S18" i="10" s="1"/>
  <c r="K18" i="10" s="1" a="1"/>
  <c r="K18" i="10" s="1"/>
  <c r="R18" i="10"/>
  <c r="Q18" i="10"/>
  <c r="Y18" i="10" s="1"/>
  <c r="P18" i="10"/>
  <c r="D18" i="10"/>
  <c r="AA17" i="10"/>
  <c r="V17" i="10" a="1"/>
  <c r="V17" i="10" s="1"/>
  <c r="U17" i="10" a="1"/>
  <c r="U17" i="10" s="1"/>
  <c r="H17" i="10" s="1" a="1"/>
  <c r="H17" i="10" s="1"/>
  <c r="T17" i="10" a="1"/>
  <c r="T17" i="10" s="1"/>
  <c r="S17" i="10" a="1"/>
  <c r="S17" i="10" s="1"/>
  <c r="K17" i="10" s="1" a="1"/>
  <c r="K17" i="10" s="1"/>
  <c r="R17" i="10"/>
  <c r="Q17" i="10"/>
  <c r="Y17" i="10" s="1"/>
  <c r="P17" i="10"/>
  <c r="D17" i="10"/>
  <c r="AA16" i="10"/>
  <c r="V16" i="10" a="1"/>
  <c r="V16" i="10" s="1"/>
  <c r="U16" i="10" a="1"/>
  <c r="U16" i="10" s="1"/>
  <c r="H16" i="10" s="1" a="1"/>
  <c r="H16" i="10" s="1"/>
  <c r="T16" i="10" a="1"/>
  <c r="T16" i="10" s="1"/>
  <c r="G16" i="10" s="1" a="1"/>
  <c r="G16" i="10" s="1"/>
  <c r="S16" i="10" a="1"/>
  <c r="S16" i="10" s="1"/>
  <c r="K16" i="10" s="1" a="1"/>
  <c r="K16" i="10" s="1"/>
  <c r="R16" i="10"/>
  <c r="Q16" i="10"/>
  <c r="Y16" i="10" s="1"/>
  <c r="P16" i="10"/>
  <c r="D16" i="10"/>
  <c r="AA15" i="10"/>
  <c r="V15" i="10" a="1"/>
  <c r="V15" i="10" s="1"/>
  <c r="U15" i="10" a="1"/>
  <c r="U15" i="10" s="1"/>
  <c r="H15" i="10" s="1" a="1"/>
  <c r="H15" i="10" s="1"/>
  <c r="T15" i="10" a="1"/>
  <c r="T15" i="10" s="1"/>
  <c r="S15" i="10" a="1"/>
  <c r="S15" i="10" s="1"/>
  <c r="K15" i="10" s="1" a="1"/>
  <c r="K15" i="10" s="1"/>
  <c r="R15" i="10"/>
  <c r="Q15" i="10"/>
  <c r="Y15" i="10" s="1"/>
  <c r="P15" i="10"/>
  <c r="D15" i="10"/>
  <c r="AA14" i="10"/>
  <c r="V14" i="10" a="1"/>
  <c r="V14" i="10" s="1"/>
  <c r="U14" i="10" a="1"/>
  <c r="U14" i="10" s="1"/>
  <c r="H14" i="10" s="1" a="1"/>
  <c r="H14" i="10" s="1"/>
  <c r="T14" i="10" a="1"/>
  <c r="T14" i="10" s="1"/>
  <c r="S14" i="10" a="1"/>
  <c r="S14" i="10" s="1"/>
  <c r="K14" i="10" s="1" a="1"/>
  <c r="K14" i="10" s="1"/>
  <c r="R14" i="10"/>
  <c r="Q14" i="10"/>
  <c r="P14" i="10"/>
  <c r="D14" i="10"/>
  <c r="AA13" i="10"/>
  <c r="V13" i="10" a="1"/>
  <c r="V13" i="10" s="1"/>
  <c r="U13" i="10" a="1"/>
  <c r="U13" i="10" s="1"/>
  <c r="H13" i="10" s="1" a="1"/>
  <c r="H13" i="10" s="1"/>
  <c r="T13" i="10" a="1"/>
  <c r="T13" i="10" s="1"/>
  <c r="S13" i="10" a="1"/>
  <c r="S13" i="10" s="1"/>
  <c r="K13" i="10" s="1" a="1"/>
  <c r="K13" i="10" s="1"/>
  <c r="R13" i="10"/>
  <c r="Q13" i="10"/>
  <c r="P13" i="10"/>
  <c r="D13" i="10"/>
  <c r="AA12" i="10"/>
  <c r="V12" i="10" a="1"/>
  <c r="V12" i="10" s="1"/>
  <c r="U12" i="10" a="1"/>
  <c r="U12" i="10" s="1"/>
  <c r="H12" i="10" s="1" a="1"/>
  <c r="H12" i="10" s="1"/>
  <c r="T12" i="10" a="1"/>
  <c r="T12" i="10" s="1"/>
  <c r="R12" i="10"/>
  <c r="Q12" i="10"/>
  <c r="Y12" i="10" s="1"/>
  <c r="P12" i="10"/>
  <c r="D12" i="10"/>
  <c r="AA11" i="10"/>
  <c r="V11" i="10" a="1"/>
  <c r="V11" i="10" s="1"/>
  <c r="U11" i="10" a="1"/>
  <c r="U11" i="10" s="1"/>
  <c r="H11" i="10" s="1" a="1"/>
  <c r="H11" i="10" s="1"/>
  <c r="T11" i="10" a="1"/>
  <c r="T11" i="10" s="1"/>
  <c r="S11" i="10" a="1"/>
  <c r="S11" i="10" s="1"/>
  <c r="K11" i="10" s="1" a="1"/>
  <c r="K11" i="10" s="1"/>
  <c r="R11" i="10"/>
  <c r="Q11" i="10"/>
  <c r="Y11" i="10" s="1"/>
  <c r="P11" i="10"/>
  <c r="D11" i="10"/>
  <c r="S26" i="8"/>
  <c r="S25" i="8"/>
  <c r="S24" i="8"/>
  <c r="S23" i="8"/>
  <c r="S22" i="8"/>
  <c r="S21" i="8"/>
  <c r="S20" i="8"/>
  <c r="S19" i="8"/>
  <c r="S18" i="8"/>
  <c r="S17" i="8"/>
  <c r="T17" i="8" s="1"/>
  <c r="I70" i="39"/>
  <c r="G70" i="39"/>
  <c r="E70" i="39"/>
  <c r="I55" i="39"/>
  <c r="G55" i="39"/>
  <c r="E55" i="39"/>
  <c r="I39" i="39"/>
  <c r="G39" i="39"/>
  <c r="E39" i="39"/>
  <c r="I38" i="39"/>
  <c r="G38" i="39"/>
  <c r="E38" i="39"/>
  <c r="I37" i="39"/>
  <c r="G37" i="39"/>
  <c r="E37" i="39"/>
  <c r="I36" i="39"/>
  <c r="G36" i="39"/>
  <c r="E36" i="39"/>
  <c r="I35" i="39"/>
  <c r="G35" i="39"/>
  <c r="E35" i="39"/>
  <c r="I34" i="39"/>
  <c r="G34" i="39"/>
  <c r="E34" i="39"/>
  <c r="I33" i="39"/>
  <c r="G33" i="39"/>
  <c r="E33" i="39"/>
  <c r="I32" i="39"/>
  <c r="I40" i="39" s="1"/>
  <c r="G32" i="39"/>
  <c r="E32" i="39"/>
  <c r="I31" i="39"/>
  <c r="G31" i="39"/>
  <c r="E31" i="39"/>
  <c r="I30" i="39"/>
  <c r="G30" i="39"/>
  <c r="G40" i="39" s="1"/>
  <c r="E30" i="39"/>
  <c r="E40" i="39" s="1"/>
  <c r="I24" i="39"/>
  <c r="G24" i="39"/>
  <c r="E24" i="39"/>
  <c r="I22" i="39"/>
  <c r="G22" i="39"/>
  <c r="E22" i="39"/>
  <c r="I21" i="39"/>
  <c r="G21" i="39"/>
  <c r="E21" i="39"/>
  <c r="I20" i="39"/>
  <c r="G20" i="39"/>
  <c r="E20" i="39"/>
  <c r="I19" i="39"/>
  <c r="G19" i="39"/>
  <c r="E19" i="39"/>
  <c r="I18" i="39"/>
  <c r="G18" i="39"/>
  <c r="E18" i="39"/>
  <c r="I17" i="39"/>
  <c r="G17" i="39"/>
  <c r="E17" i="39"/>
  <c r="I16" i="39"/>
  <c r="G16" i="39"/>
  <c r="E16" i="39"/>
  <c r="I15" i="39"/>
  <c r="G15" i="39"/>
  <c r="E15" i="39"/>
  <c r="I14" i="39"/>
  <c r="G14" i="39"/>
  <c r="E14" i="39"/>
  <c r="I13" i="39"/>
  <c r="G13" i="39"/>
  <c r="E13" i="39"/>
  <c r="A5" i="39" a="1"/>
  <c r="A5" i="39" s="1"/>
  <c r="B4" i="39"/>
  <c r="I70" i="38"/>
  <c r="G70" i="38"/>
  <c r="E70" i="38"/>
  <c r="I55" i="38"/>
  <c r="G55" i="38"/>
  <c r="E55" i="38"/>
  <c r="I39" i="38"/>
  <c r="G39" i="38"/>
  <c r="E39" i="38"/>
  <c r="I38" i="38"/>
  <c r="G38" i="38"/>
  <c r="E38" i="38"/>
  <c r="I37" i="38"/>
  <c r="G37" i="38"/>
  <c r="E37" i="38"/>
  <c r="I36" i="38"/>
  <c r="G36" i="38"/>
  <c r="E36" i="38"/>
  <c r="I35" i="38"/>
  <c r="G35" i="38"/>
  <c r="E35" i="38"/>
  <c r="I34" i="38"/>
  <c r="G34" i="38"/>
  <c r="E34" i="38"/>
  <c r="I33" i="38"/>
  <c r="G33" i="38"/>
  <c r="E33" i="38"/>
  <c r="I32" i="38"/>
  <c r="G32" i="38"/>
  <c r="E32" i="38"/>
  <c r="I31" i="38"/>
  <c r="G31" i="38"/>
  <c r="E31" i="38"/>
  <c r="I30" i="38"/>
  <c r="G30" i="38"/>
  <c r="E30" i="38"/>
  <c r="I24" i="38"/>
  <c r="G24" i="38"/>
  <c r="E24" i="38"/>
  <c r="I22" i="38"/>
  <c r="G22" i="38"/>
  <c r="E22" i="38"/>
  <c r="I21" i="38"/>
  <c r="G21" i="38"/>
  <c r="E21" i="38"/>
  <c r="I20" i="38"/>
  <c r="G20" i="38"/>
  <c r="E20" i="38"/>
  <c r="I19" i="38"/>
  <c r="G19" i="38"/>
  <c r="E19" i="38"/>
  <c r="I18" i="38"/>
  <c r="G18" i="38"/>
  <c r="E18" i="38"/>
  <c r="I17" i="38"/>
  <c r="G17" i="38"/>
  <c r="E17" i="38"/>
  <c r="I16" i="38"/>
  <c r="G16" i="38"/>
  <c r="E16" i="38"/>
  <c r="I15" i="38"/>
  <c r="G15" i="38"/>
  <c r="E15" i="38"/>
  <c r="I14" i="38"/>
  <c r="G14" i="38"/>
  <c r="E14" i="38"/>
  <c r="I13" i="38"/>
  <c r="G13" i="38"/>
  <c r="E13" i="38"/>
  <c r="A5" i="38" a="1"/>
  <c r="A5" i="38" s="1"/>
  <c r="B4" i="38"/>
  <c r="I70" i="37"/>
  <c r="G70" i="37"/>
  <c r="E70" i="37"/>
  <c r="I55" i="37"/>
  <c r="G55" i="37"/>
  <c r="E55" i="37"/>
  <c r="I39" i="37"/>
  <c r="G39" i="37"/>
  <c r="E39" i="37"/>
  <c r="I38" i="37"/>
  <c r="G38" i="37"/>
  <c r="E38" i="37"/>
  <c r="I37" i="37"/>
  <c r="G37" i="37"/>
  <c r="E37" i="37"/>
  <c r="I36" i="37"/>
  <c r="G36" i="37"/>
  <c r="E36" i="37"/>
  <c r="I35" i="37"/>
  <c r="G35" i="37"/>
  <c r="E35" i="37"/>
  <c r="I34" i="37"/>
  <c r="G34" i="37"/>
  <c r="E34" i="37"/>
  <c r="I33" i="37"/>
  <c r="G33" i="37"/>
  <c r="E33" i="37"/>
  <c r="I32" i="37"/>
  <c r="G32" i="37"/>
  <c r="E32" i="37"/>
  <c r="I31" i="37"/>
  <c r="G31" i="37"/>
  <c r="E31" i="37"/>
  <c r="I30" i="37"/>
  <c r="G30" i="37"/>
  <c r="E30" i="37"/>
  <c r="I24" i="37"/>
  <c r="G24" i="37"/>
  <c r="E24" i="37"/>
  <c r="I22" i="37"/>
  <c r="G22" i="37"/>
  <c r="E22" i="37"/>
  <c r="I21" i="37"/>
  <c r="G21" i="37"/>
  <c r="E21" i="37"/>
  <c r="I20" i="37"/>
  <c r="G20" i="37"/>
  <c r="E20" i="37"/>
  <c r="I19" i="37"/>
  <c r="G19" i="37"/>
  <c r="E19" i="37"/>
  <c r="I18" i="37"/>
  <c r="G18" i="37"/>
  <c r="E18" i="37"/>
  <c r="I17" i="37"/>
  <c r="G17" i="37"/>
  <c r="E17" i="37"/>
  <c r="I16" i="37"/>
  <c r="G16" i="37"/>
  <c r="E16" i="37"/>
  <c r="I15" i="37"/>
  <c r="G15" i="37"/>
  <c r="G23" i="37" s="1"/>
  <c r="E15" i="37"/>
  <c r="I14" i="37"/>
  <c r="G14" i="37"/>
  <c r="E14" i="37"/>
  <c r="I13" i="37"/>
  <c r="G13" i="37"/>
  <c r="E13" i="37"/>
  <c r="A5" i="37" a="1"/>
  <c r="A5" i="37" s="1"/>
  <c r="B4" i="37"/>
  <c r="I70" i="36"/>
  <c r="G70" i="36"/>
  <c r="E70" i="36"/>
  <c r="I55" i="36"/>
  <c r="G55" i="36"/>
  <c r="E55" i="36"/>
  <c r="I39" i="36"/>
  <c r="G39" i="36"/>
  <c r="E39" i="36"/>
  <c r="I38" i="36"/>
  <c r="G38" i="36"/>
  <c r="E38" i="36"/>
  <c r="I37" i="36"/>
  <c r="G37" i="36"/>
  <c r="E37" i="36"/>
  <c r="I36" i="36"/>
  <c r="G36" i="36"/>
  <c r="E36" i="36"/>
  <c r="I35" i="36"/>
  <c r="G35" i="36"/>
  <c r="E35" i="36"/>
  <c r="I34" i="36"/>
  <c r="G34" i="36"/>
  <c r="E34" i="36"/>
  <c r="I33" i="36"/>
  <c r="G33" i="36"/>
  <c r="E33" i="36"/>
  <c r="I32" i="36"/>
  <c r="G32" i="36"/>
  <c r="E32" i="36"/>
  <c r="I31" i="36"/>
  <c r="G31" i="36"/>
  <c r="E31" i="36"/>
  <c r="I30" i="36"/>
  <c r="G30" i="36"/>
  <c r="E30" i="36"/>
  <c r="I24" i="36"/>
  <c r="G24" i="36"/>
  <c r="E24" i="36"/>
  <c r="I22" i="36"/>
  <c r="G22" i="36"/>
  <c r="E22" i="36"/>
  <c r="I21" i="36"/>
  <c r="G21" i="36"/>
  <c r="E21" i="36"/>
  <c r="I20" i="36"/>
  <c r="G20" i="36"/>
  <c r="E20" i="36"/>
  <c r="I19" i="36"/>
  <c r="G19" i="36"/>
  <c r="E19" i="36"/>
  <c r="I18" i="36"/>
  <c r="G18" i="36"/>
  <c r="E18" i="36"/>
  <c r="I17" i="36"/>
  <c r="G17" i="36"/>
  <c r="E17" i="36"/>
  <c r="I16" i="36"/>
  <c r="G16" i="36"/>
  <c r="E16" i="36"/>
  <c r="I15" i="36"/>
  <c r="G15" i="36"/>
  <c r="E15" i="36"/>
  <c r="I14" i="36"/>
  <c r="G14" i="36"/>
  <c r="E14" i="36"/>
  <c r="I13" i="36"/>
  <c r="G13" i="36"/>
  <c r="E13" i="36"/>
  <c r="A5" i="36" a="1"/>
  <c r="A5" i="36" s="1"/>
  <c r="B4" i="36"/>
  <c r="I70" i="35"/>
  <c r="G70" i="35"/>
  <c r="E70" i="35"/>
  <c r="I55" i="35"/>
  <c r="G55" i="35"/>
  <c r="E55" i="35"/>
  <c r="J55" i="35" s="1"/>
  <c r="G40" i="35"/>
  <c r="I39" i="35"/>
  <c r="G39" i="35"/>
  <c r="E39" i="35"/>
  <c r="I38" i="35"/>
  <c r="G38" i="35"/>
  <c r="E38" i="35"/>
  <c r="I37" i="35"/>
  <c r="G37" i="35"/>
  <c r="E37" i="35"/>
  <c r="I36" i="35"/>
  <c r="G36" i="35"/>
  <c r="E36" i="35"/>
  <c r="I35" i="35"/>
  <c r="G35" i="35"/>
  <c r="E35" i="35"/>
  <c r="I34" i="35"/>
  <c r="G34" i="35"/>
  <c r="E34" i="35"/>
  <c r="I33" i="35"/>
  <c r="G33" i="35"/>
  <c r="E33" i="35"/>
  <c r="I32" i="35"/>
  <c r="G32" i="35"/>
  <c r="E32" i="35"/>
  <c r="I31" i="35"/>
  <c r="G31" i="35"/>
  <c r="E31" i="35"/>
  <c r="I30" i="35"/>
  <c r="G30" i="35"/>
  <c r="E30" i="35"/>
  <c r="I24" i="35"/>
  <c r="G24" i="35"/>
  <c r="E24" i="35"/>
  <c r="I22" i="35"/>
  <c r="G22" i="35"/>
  <c r="E22" i="35"/>
  <c r="I21" i="35"/>
  <c r="G21" i="35"/>
  <c r="E21" i="35"/>
  <c r="I20" i="35"/>
  <c r="G20" i="35"/>
  <c r="E20" i="35"/>
  <c r="I19" i="35"/>
  <c r="G19" i="35"/>
  <c r="E19" i="35"/>
  <c r="I18" i="35"/>
  <c r="G18" i="35"/>
  <c r="E18" i="35"/>
  <c r="I17" i="35"/>
  <c r="G17" i="35"/>
  <c r="E17" i="35"/>
  <c r="I16" i="35"/>
  <c r="G16" i="35"/>
  <c r="E16" i="35"/>
  <c r="I15" i="35"/>
  <c r="G15" i="35"/>
  <c r="E15" i="35"/>
  <c r="I14" i="35"/>
  <c r="G14" i="35"/>
  <c r="E14" i="35"/>
  <c r="I13" i="35"/>
  <c r="G13" i="35"/>
  <c r="E13" i="35"/>
  <c r="A5" i="35" a="1"/>
  <c r="A5" i="35" s="1"/>
  <c r="B4" i="35"/>
  <c r="I70" i="34"/>
  <c r="G70" i="34"/>
  <c r="E70" i="34"/>
  <c r="I55" i="34"/>
  <c r="G55" i="34"/>
  <c r="E55" i="34"/>
  <c r="I39" i="34"/>
  <c r="G39" i="34"/>
  <c r="E39" i="34"/>
  <c r="I38" i="34"/>
  <c r="G38" i="34"/>
  <c r="E38" i="34"/>
  <c r="I37" i="34"/>
  <c r="G37" i="34"/>
  <c r="E37" i="34"/>
  <c r="I36" i="34"/>
  <c r="G36" i="34"/>
  <c r="E36" i="34"/>
  <c r="I35" i="34"/>
  <c r="G35" i="34"/>
  <c r="E35" i="34"/>
  <c r="I34" i="34"/>
  <c r="G34" i="34"/>
  <c r="E34" i="34"/>
  <c r="I33" i="34"/>
  <c r="G33" i="34"/>
  <c r="E33" i="34"/>
  <c r="I32" i="34"/>
  <c r="G32" i="34"/>
  <c r="E32" i="34"/>
  <c r="I31" i="34"/>
  <c r="G31" i="34"/>
  <c r="E31" i="34"/>
  <c r="I30" i="34"/>
  <c r="G30" i="34"/>
  <c r="E30" i="34"/>
  <c r="I24" i="34"/>
  <c r="G24" i="34"/>
  <c r="E24" i="34"/>
  <c r="I22" i="34"/>
  <c r="G22" i="34"/>
  <c r="E22" i="34"/>
  <c r="I21" i="34"/>
  <c r="G21" i="34"/>
  <c r="E21" i="34"/>
  <c r="I20" i="34"/>
  <c r="G20" i="34"/>
  <c r="E20" i="34"/>
  <c r="I19" i="34"/>
  <c r="G19" i="34"/>
  <c r="E19" i="34"/>
  <c r="I18" i="34"/>
  <c r="G18" i="34"/>
  <c r="E18" i="34"/>
  <c r="I17" i="34"/>
  <c r="G17" i="34"/>
  <c r="E17" i="34"/>
  <c r="I16" i="34"/>
  <c r="G16" i="34"/>
  <c r="E16" i="34"/>
  <c r="I15" i="34"/>
  <c r="G15" i="34"/>
  <c r="E15" i="34"/>
  <c r="I14" i="34"/>
  <c r="G14" i="34"/>
  <c r="E14" i="34"/>
  <c r="I13" i="34"/>
  <c r="G13" i="34"/>
  <c r="E13" i="34"/>
  <c r="A5" i="34" a="1"/>
  <c r="A5" i="34" s="1"/>
  <c r="B4" i="34"/>
  <c r="I70" i="33"/>
  <c r="G70" i="33"/>
  <c r="E70" i="33"/>
  <c r="I55" i="33"/>
  <c r="G55" i="33"/>
  <c r="E55" i="33"/>
  <c r="I39" i="33"/>
  <c r="G39" i="33"/>
  <c r="E39" i="33"/>
  <c r="I38" i="33"/>
  <c r="G38" i="33"/>
  <c r="E38" i="33"/>
  <c r="I37" i="33"/>
  <c r="G37" i="33"/>
  <c r="E37" i="33"/>
  <c r="I36" i="33"/>
  <c r="G36" i="33"/>
  <c r="E36" i="33"/>
  <c r="I35" i="33"/>
  <c r="G35" i="33"/>
  <c r="E35" i="33"/>
  <c r="I34" i="33"/>
  <c r="G34" i="33"/>
  <c r="E34" i="33"/>
  <c r="I33" i="33"/>
  <c r="G33" i="33"/>
  <c r="E33" i="33"/>
  <c r="I32" i="33"/>
  <c r="G32" i="33"/>
  <c r="E32" i="33"/>
  <c r="I31" i="33"/>
  <c r="G31" i="33"/>
  <c r="E31" i="33"/>
  <c r="I30" i="33"/>
  <c r="G30" i="33"/>
  <c r="E30" i="33"/>
  <c r="I24" i="33"/>
  <c r="G24" i="33"/>
  <c r="E24" i="33"/>
  <c r="I22" i="33"/>
  <c r="G22" i="33"/>
  <c r="E22" i="33"/>
  <c r="I21" i="33"/>
  <c r="G21" i="33"/>
  <c r="E21" i="33"/>
  <c r="I20" i="33"/>
  <c r="G20" i="33"/>
  <c r="E20" i="33"/>
  <c r="I19" i="33"/>
  <c r="G19" i="33"/>
  <c r="E19" i="33"/>
  <c r="I18" i="33"/>
  <c r="G18" i="33"/>
  <c r="E18" i="33"/>
  <c r="I17" i="33"/>
  <c r="G17" i="33"/>
  <c r="E17" i="33"/>
  <c r="I16" i="33"/>
  <c r="G16" i="33"/>
  <c r="E16" i="33"/>
  <c r="I15" i="33"/>
  <c r="G15" i="33"/>
  <c r="E15" i="33"/>
  <c r="I14" i="33"/>
  <c r="G14" i="33"/>
  <c r="E14" i="33"/>
  <c r="I13" i="33"/>
  <c r="G13" i="33"/>
  <c r="E13" i="33"/>
  <c r="A5" i="33" a="1"/>
  <c r="A5" i="33" s="1"/>
  <c r="B4" i="33"/>
  <c r="I70" i="32"/>
  <c r="G70" i="32"/>
  <c r="E70" i="32"/>
  <c r="I55" i="32"/>
  <c r="G55" i="32"/>
  <c r="E55" i="32"/>
  <c r="J55" i="32" s="1"/>
  <c r="I39" i="32"/>
  <c r="G39" i="32"/>
  <c r="E39" i="32"/>
  <c r="I38" i="32"/>
  <c r="G38" i="32"/>
  <c r="E38" i="32"/>
  <c r="I37" i="32"/>
  <c r="G37" i="32"/>
  <c r="E37" i="32"/>
  <c r="I36" i="32"/>
  <c r="G36" i="32"/>
  <c r="E36" i="32"/>
  <c r="I35" i="32"/>
  <c r="G35" i="32"/>
  <c r="E35" i="32"/>
  <c r="I34" i="32"/>
  <c r="G34" i="32"/>
  <c r="E34" i="32"/>
  <c r="I33" i="32"/>
  <c r="G33" i="32"/>
  <c r="E33" i="32"/>
  <c r="I32" i="32"/>
  <c r="G32" i="32"/>
  <c r="E32" i="32"/>
  <c r="I31" i="32"/>
  <c r="G31" i="32"/>
  <c r="E31" i="32"/>
  <c r="I30" i="32"/>
  <c r="G30" i="32"/>
  <c r="E30" i="32"/>
  <c r="I22" i="32"/>
  <c r="G22" i="32"/>
  <c r="E22" i="32"/>
  <c r="I21" i="32"/>
  <c r="G21" i="32"/>
  <c r="E21" i="32"/>
  <c r="I20" i="32"/>
  <c r="G20" i="32"/>
  <c r="E20" i="32"/>
  <c r="I19" i="32"/>
  <c r="G19" i="32"/>
  <c r="E19" i="32"/>
  <c r="I18" i="32"/>
  <c r="G18" i="32"/>
  <c r="E18" i="32"/>
  <c r="I17" i="32"/>
  <c r="G17" i="32"/>
  <c r="E17" i="32"/>
  <c r="I16" i="32"/>
  <c r="G16" i="32"/>
  <c r="E16" i="32"/>
  <c r="I15" i="32"/>
  <c r="G15" i="32"/>
  <c r="E15" i="32"/>
  <c r="I14" i="32"/>
  <c r="G14" i="32"/>
  <c r="E14" i="32"/>
  <c r="I13" i="32"/>
  <c r="G13" i="32"/>
  <c r="E13" i="32"/>
  <c r="A5" i="32" a="1"/>
  <c r="A5" i="32" s="1"/>
  <c r="B4" i="32"/>
  <c r="I70" i="31"/>
  <c r="G70" i="31"/>
  <c r="E70" i="31"/>
  <c r="I55" i="31"/>
  <c r="G55" i="31"/>
  <c r="E55" i="31"/>
  <c r="I39" i="31"/>
  <c r="G39" i="31"/>
  <c r="E39" i="31"/>
  <c r="I38" i="31"/>
  <c r="G38" i="31"/>
  <c r="E38" i="31"/>
  <c r="I37" i="31"/>
  <c r="G37" i="31"/>
  <c r="E37" i="31"/>
  <c r="I36" i="31"/>
  <c r="G36" i="31"/>
  <c r="E36" i="31"/>
  <c r="I35" i="31"/>
  <c r="G35" i="31"/>
  <c r="E35" i="31"/>
  <c r="I34" i="31"/>
  <c r="G34" i="31"/>
  <c r="E34" i="31"/>
  <c r="I33" i="31"/>
  <c r="G33" i="31"/>
  <c r="E33" i="31"/>
  <c r="I32" i="31"/>
  <c r="G32" i="31"/>
  <c r="E32" i="31"/>
  <c r="I31" i="31"/>
  <c r="G31" i="31"/>
  <c r="E31" i="31"/>
  <c r="I30" i="31"/>
  <c r="I40" i="31" s="1"/>
  <c r="G30" i="31"/>
  <c r="E30" i="31"/>
  <c r="I22" i="31"/>
  <c r="G22" i="31"/>
  <c r="E22" i="31"/>
  <c r="I21" i="31"/>
  <c r="G21" i="31"/>
  <c r="E21" i="31"/>
  <c r="I20" i="31"/>
  <c r="G20" i="31"/>
  <c r="E20" i="31"/>
  <c r="I19" i="31"/>
  <c r="G19" i="31"/>
  <c r="E19" i="31"/>
  <c r="I18" i="31"/>
  <c r="G18" i="31"/>
  <c r="E18" i="31"/>
  <c r="I17" i="31"/>
  <c r="G17" i="31"/>
  <c r="E17" i="31"/>
  <c r="I16" i="31"/>
  <c r="G16" i="31"/>
  <c r="E16" i="31"/>
  <c r="I15" i="31"/>
  <c r="G15" i="31"/>
  <c r="E15" i="31"/>
  <c r="I14" i="31"/>
  <c r="G14" i="31"/>
  <c r="E14" i="31"/>
  <c r="I13" i="31"/>
  <c r="E13" i="31"/>
  <c r="A5" i="31" a="1"/>
  <c r="A5" i="31" s="1"/>
  <c r="B4" i="31"/>
  <c r="I70" i="30"/>
  <c r="G70" i="30"/>
  <c r="E70" i="30"/>
  <c r="I55" i="30"/>
  <c r="G55" i="30"/>
  <c r="E55" i="30"/>
  <c r="J55" i="30" s="1"/>
  <c r="I39" i="30"/>
  <c r="G39" i="30"/>
  <c r="E39" i="30"/>
  <c r="I38" i="30"/>
  <c r="G38" i="30"/>
  <c r="E38" i="30"/>
  <c r="I37" i="30"/>
  <c r="G37" i="30"/>
  <c r="E37" i="30"/>
  <c r="I36" i="30"/>
  <c r="G36" i="30"/>
  <c r="E36" i="30"/>
  <c r="I35" i="30"/>
  <c r="G35" i="30"/>
  <c r="E35" i="30"/>
  <c r="I34" i="30"/>
  <c r="G34" i="30"/>
  <c r="E34" i="30"/>
  <c r="I33" i="30"/>
  <c r="G33" i="30"/>
  <c r="E33" i="30"/>
  <c r="I32" i="30"/>
  <c r="G32" i="30"/>
  <c r="E32" i="30"/>
  <c r="I31" i="30"/>
  <c r="G31" i="30"/>
  <c r="E31" i="30"/>
  <c r="I30" i="30"/>
  <c r="G30" i="30"/>
  <c r="E30" i="30"/>
  <c r="I22" i="30"/>
  <c r="G22" i="30"/>
  <c r="E22" i="30"/>
  <c r="I21" i="30"/>
  <c r="G21" i="30"/>
  <c r="E21" i="30"/>
  <c r="I20" i="30"/>
  <c r="G20" i="30"/>
  <c r="E20" i="30"/>
  <c r="I19" i="30"/>
  <c r="G19" i="30"/>
  <c r="E19" i="30"/>
  <c r="I18" i="30"/>
  <c r="G18" i="30"/>
  <c r="E18" i="30"/>
  <c r="I17" i="30"/>
  <c r="G17" i="30"/>
  <c r="E17" i="30"/>
  <c r="I16" i="30"/>
  <c r="G16" i="30"/>
  <c r="E16" i="30"/>
  <c r="I15" i="30"/>
  <c r="G15" i="30"/>
  <c r="E15" i="30"/>
  <c r="I14" i="30"/>
  <c r="G14" i="30"/>
  <c r="E14" i="30"/>
  <c r="I13" i="30"/>
  <c r="E13" i="30"/>
  <c r="A5" i="30" a="1"/>
  <c r="A5" i="30" s="1"/>
  <c r="B4" i="30"/>
  <c r="AN55" i="24" a="1"/>
  <c r="AQ52" i="24" a="1"/>
  <c r="AQ55" i="24" a="1"/>
  <c r="AN61" i="24" a="1"/>
  <c r="AN52" i="24" a="1"/>
  <c r="AO55" i="24" a="1"/>
  <c r="AR55" i="24" a="1"/>
  <c r="AO61" i="24" a="1"/>
  <c r="AO58" i="24" a="1"/>
  <c r="AR52" i="24" a="1"/>
  <c r="AQ58" i="24" a="1"/>
  <c r="AQ61" i="24" a="1"/>
  <c r="AN58" i="24" a="1"/>
  <c r="AO52" i="24" a="1"/>
  <c r="AR58" i="24" a="1"/>
  <c r="AR61" i="24" a="1"/>
  <c r="BV16" i="10" a="1"/>
  <c r="BW11" i="10" a="1"/>
  <c r="BZ20" i="10" a="1"/>
  <c r="AS21" i="24" a="1"/>
  <c r="G34" i="24" a="1"/>
  <c r="BW20" i="10" a="1"/>
  <c r="AS20" i="24" a="1"/>
  <c r="BV17" i="10" a="1"/>
  <c r="BV14" i="10" a="1"/>
  <c r="G20" i="24" a="1"/>
  <c r="AS19" i="24" a="1"/>
  <c r="AU61" i="24" a="1"/>
  <c r="BY16" i="10" a="1"/>
  <c r="L19" i="10" a="1"/>
  <c r="G52" i="24" a="1"/>
  <c r="L11" i="10" a="1"/>
  <c r="AT34" i="24" a="1"/>
  <c r="AQ15" i="24" a="1"/>
  <c r="BY19" i="10" a="1"/>
  <c r="AS12" i="24" a="1"/>
  <c r="BX14" i="10" a="1"/>
  <c r="G18" i="24" a="1"/>
  <c r="BZ15" i="10" a="1"/>
  <c r="BW16" i="10" a="1"/>
  <c r="G14" i="24" a="1"/>
  <c r="G15" i="24" a="1"/>
  <c r="CA13" i="10" a="1"/>
  <c r="BZ19" i="10" a="1"/>
  <c r="AU59" i="24" a="1"/>
  <c r="G12" i="24" a="1"/>
  <c r="BX13" i="10" a="1"/>
  <c r="AU56" i="24" a="1"/>
  <c r="CA12" i="10" a="1"/>
  <c r="BW15" i="10" a="1"/>
  <c r="W15" i="10" a="1"/>
  <c r="BY18" i="10" a="1"/>
  <c r="G60" i="24" a="1"/>
  <c r="CC14" i="10" a="1"/>
  <c r="AS14" i="24" a="1"/>
  <c r="AT35" i="24" a="1"/>
  <c r="CC11" i="10" a="1"/>
  <c r="AO13" i="24" a="1"/>
  <c r="AO19" i="24" a="1"/>
  <c r="CB15" i="10" a="1"/>
  <c r="AT40" i="24" a="1"/>
  <c r="G39" i="24" a="1"/>
  <c r="AT39" i="24" a="1"/>
  <c r="CB14" i="10" a="1"/>
  <c r="BV12" i="10" a="1"/>
  <c r="AQ13" i="24" a="1"/>
  <c r="CC20" i="10" a="1"/>
  <c r="AQ21" i="24" a="1"/>
  <c r="CD11" i="10" a="1"/>
  <c r="AT32" i="24" a="1"/>
  <c r="AR13" i="24" a="1"/>
  <c r="AU58" i="24" a="1"/>
  <c r="W20" i="10" a="1"/>
  <c r="CB19" i="10" a="1"/>
  <c r="CC12" i="10" a="1"/>
  <c r="L12" i="10" a="1"/>
  <c r="CB13" i="10" a="1"/>
  <c r="AU54" i="24" a="1"/>
  <c r="AQ19" i="24" a="1"/>
  <c r="CC15" i="10" a="1"/>
  <c r="BW18" i="10" a="1"/>
  <c r="AS16" i="24" a="1"/>
  <c r="CA17" i="10" a="1"/>
  <c r="CB16" i="10" a="1"/>
  <c r="CA16" i="10" a="1"/>
  <c r="G56" i="24" a="1"/>
  <c r="AU52" i="24" a="1"/>
  <c r="BV11" i="10" a="1"/>
  <c r="BX16" i="10" a="1"/>
  <c r="G58" i="24" a="1"/>
  <c r="G16" i="24" a="1"/>
  <c r="BW14" i="10" a="1"/>
  <c r="L15" i="10" a="1"/>
  <c r="G37" i="24" a="1"/>
  <c r="AR19" i="24" a="1"/>
  <c r="AR16" i="24" a="1"/>
  <c r="G53" i="24" a="1"/>
  <c r="BY15" i="10" a="1"/>
  <c r="CC17" i="10" a="1"/>
  <c r="L14" i="10" a="1"/>
  <c r="BZ12" i="10" a="1"/>
  <c r="AQ12" i="24" a="1"/>
  <c r="BX15" i="10" a="1"/>
  <c r="AR21" i="24" a="1"/>
  <c r="AT37" i="24" a="1"/>
  <c r="AN20" i="24" a="1"/>
  <c r="W19" i="10" a="1"/>
  <c r="CA15" i="10" a="1"/>
  <c r="AS18" i="24" a="1"/>
  <c r="CB18" i="10" a="1"/>
  <c r="AT41" i="24" a="1"/>
  <c r="AU57" i="24" a="1"/>
  <c r="AN13" i="24" a="1"/>
  <c r="G36" i="24" a="1"/>
  <c r="CA20" i="10" a="1"/>
  <c r="G59" i="24" a="1"/>
  <c r="W11" i="10" a="1"/>
  <c r="BW13" i="10" a="1"/>
  <c r="CA19" i="10" a="1"/>
  <c r="CC18" i="10" a="1"/>
  <c r="AU55" i="24" a="1"/>
  <c r="BV15" i="10" a="1"/>
  <c r="BY20" i="10" a="1"/>
  <c r="W13" i="10" a="1"/>
  <c r="L13" i="10" a="1"/>
  <c r="CC16" i="10" a="1"/>
  <c r="AT36" i="24" a="1"/>
  <c r="BZ17" i="10" a="1"/>
  <c r="G55" i="24" a="1"/>
  <c r="CA11" i="10" a="1"/>
  <c r="AS17" i="24" a="1"/>
  <c r="BZ13" i="10" a="1"/>
  <c r="L16" i="10" a="1"/>
  <c r="BV19" i="10" a="1"/>
  <c r="G38" i="24" a="1"/>
  <c r="G40" i="24" a="1"/>
  <c r="CC19" i="10" a="1"/>
  <c r="AS13" i="24" a="1"/>
  <c r="BX17" i="10" a="1"/>
  <c r="CB11" i="10" a="1"/>
  <c r="CA14" i="10" a="1"/>
  <c r="AU60" i="24" a="1"/>
  <c r="L18" i="10" a="1"/>
  <c r="CC13" i="10" a="1"/>
  <c r="BZ16" i="10" a="1"/>
  <c r="W16" i="10" a="1"/>
  <c r="BZ18" i="10" a="1"/>
  <c r="BY11" i="10" a="1"/>
  <c r="AT38" i="24" a="1"/>
  <c r="BV13" i="10" a="1"/>
  <c r="BW17" i="10" a="1"/>
  <c r="AN19" i="24" a="1"/>
  <c r="BY17" i="10" a="1"/>
  <c r="AU53" i="24" a="1"/>
  <c r="AN16" i="24" a="1"/>
  <c r="G35" i="24" a="1"/>
  <c r="W18" i="10" a="1"/>
  <c r="CA18" i="10" a="1"/>
  <c r="BY13" i="10" a="1"/>
  <c r="BZ11" i="10" a="1"/>
  <c r="BW12" i="10" a="1"/>
  <c r="AS15" i="24" a="1"/>
  <c r="BY12" i="10" a="1"/>
  <c r="CB20" i="10" a="1"/>
  <c r="CB12" i="10" a="1"/>
  <c r="BW19" i="10" a="1"/>
  <c r="G33" i="24" a="1"/>
  <c r="G13" i="24" a="1"/>
  <c r="W17" i="10" a="1"/>
  <c r="G54" i="24" a="1"/>
  <c r="BV20" i="10" a="1"/>
  <c r="CB17" i="10" a="1"/>
  <c r="G57" i="24" a="1"/>
  <c r="BX11" i="10" a="1"/>
  <c r="G17" i="24" a="1"/>
  <c r="BV18" i="10" a="1"/>
  <c r="W12" i="10" a="1"/>
  <c r="G32" i="24" a="1"/>
  <c r="AO21" i="24" a="1"/>
  <c r="BX19" i="10" a="1"/>
  <c r="G19" i="24" a="1"/>
  <c r="AO16" i="24" a="1"/>
  <c r="AT33" i="24" a="1"/>
  <c r="BZ14" i="10" a="1"/>
  <c r="BX12" i="10" a="1"/>
  <c r="BX18" i="10" a="1"/>
  <c r="BX20" i="10" a="1"/>
  <c r="L17" i="10" a="1"/>
  <c r="W14" i="10" a="1"/>
  <c r="BY14" i="10" a="1"/>
  <c r="AN21" i="24" a="1"/>
  <c r="F13" i="10" l="1" a="1"/>
  <c r="F13" i="10" s="1"/>
  <c r="G13" i="10" s="1" a="1"/>
  <c r="G13" i="10" s="1"/>
  <c r="F11" i="10" a="1"/>
  <c r="F11" i="10" s="1"/>
  <c r="G11" i="10" s="1" a="1"/>
  <c r="G11" i="10" s="1"/>
  <c r="F17" i="10" a="1"/>
  <c r="F17" i="10" s="1"/>
  <c r="N17" i="10" s="1"/>
  <c r="G17" i="10" a="1"/>
  <c r="G17" i="10" s="1"/>
  <c r="F15" i="10" a="1"/>
  <c r="F15" i="10" s="1"/>
  <c r="G15" i="10" s="1" a="1"/>
  <c r="G15" i="10" s="1"/>
  <c r="J25" i="36"/>
  <c r="J25" i="32"/>
  <c r="J25" i="30"/>
  <c r="J25" i="31"/>
  <c r="J25" i="37"/>
  <c r="J25" i="33"/>
  <c r="J25" i="38"/>
  <c r="J25" i="34"/>
  <c r="J25" i="35"/>
  <c r="J25" i="39"/>
  <c r="AJ20" i="10"/>
  <c r="AJ17" i="10"/>
  <c r="AJ12" i="10"/>
  <c r="AJ11" i="10"/>
  <c r="AJ16" i="10"/>
  <c r="AJ18" i="10"/>
  <c r="AJ19" i="10"/>
  <c r="AJ13" i="10"/>
  <c r="AJ14" i="10"/>
  <c r="AJ15" i="10"/>
  <c r="AU57" i="24"/>
  <c r="AU55" i="24"/>
  <c r="AS14" i="24"/>
  <c r="AS18" i="24"/>
  <c r="AT32" i="24"/>
  <c r="AT36" i="24"/>
  <c r="AT40" i="24"/>
  <c r="AU54" i="24"/>
  <c r="AU56" i="24"/>
  <c r="AU61" i="24"/>
  <c r="AU53" i="24"/>
  <c r="AS15" i="24"/>
  <c r="AS19" i="24"/>
  <c r="AT35" i="24"/>
  <c r="AT39" i="24"/>
  <c r="AU60" i="24"/>
  <c r="AU52" i="24"/>
  <c r="AU59" i="24"/>
  <c r="AS12" i="24"/>
  <c r="AS16" i="24"/>
  <c r="AS20" i="24"/>
  <c r="AT34" i="24"/>
  <c r="AT38" i="24"/>
  <c r="AU58" i="24"/>
  <c r="AS13" i="24"/>
  <c r="AS17" i="24"/>
  <c r="AS21" i="24"/>
  <c r="AT33" i="24"/>
  <c r="AT37" i="24"/>
  <c r="AT41" i="24"/>
  <c r="T20" i="8"/>
  <c r="X20" i="8"/>
  <c r="T19" i="8"/>
  <c r="X19" i="8"/>
  <c r="T21" i="8"/>
  <c r="X21" i="8"/>
  <c r="T18" i="8"/>
  <c r="X18" i="8"/>
  <c r="T22" i="8"/>
  <c r="X22" i="8"/>
  <c r="T23" i="8"/>
  <c r="X23" i="8"/>
  <c r="T24" i="8"/>
  <c r="X24" i="8"/>
  <c r="T26" i="8"/>
  <c r="X26" i="8"/>
  <c r="T25" i="8"/>
  <c r="X25" i="8"/>
  <c r="J12" i="10" a="1"/>
  <c r="J12" i="10" s="1"/>
  <c r="J13" i="10" a="1"/>
  <c r="J13" i="10" s="1"/>
  <c r="J15" i="10" a="1"/>
  <c r="J15" i="10" s="1"/>
  <c r="J17" i="10" a="1"/>
  <c r="J17" i="10" s="1"/>
  <c r="J19" i="10" a="1"/>
  <c r="J19" i="10" s="1"/>
  <c r="J14" i="10" a="1"/>
  <c r="J14" i="10" s="1"/>
  <c r="J20" i="10" a="1"/>
  <c r="J20" i="10" s="1"/>
  <c r="J11" i="10" a="1"/>
  <c r="J11" i="10" s="1"/>
  <c r="J16" i="10" a="1"/>
  <c r="J16" i="10" s="1"/>
  <c r="J18" i="10" a="1"/>
  <c r="J18" i="10" s="1"/>
  <c r="I14" i="10" a="1"/>
  <c r="I14" i="10" s="1"/>
  <c r="I16" i="10" a="1"/>
  <c r="I16" i="10" s="1"/>
  <c r="I18" i="10" a="1"/>
  <c r="I18" i="10" s="1"/>
  <c r="I20" i="10" a="1"/>
  <c r="I20" i="10" s="1"/>
  <c r="I12" i="10" a="1"/>
  <c r="I12" i="10" s="1"/>
  <c r="I13" i="10" a="1"/>
  <c r="I13" i="10" s="1"/>
  <c r="I15" i="10" a="1"/>
  <c r="I15" i="10" s="1"/>
  <c r="I17" i="10" a="1"/>
  <c r="I17" i="10" s="1"/>
  <c r="I11" i="10" a="1"/>
  <c r="I11" i="10" s="1"/>
  <c r="E19" i="10" a="1"/>
  <c r="E19" i="10" s="1"/>
  <c r="B19" i="44" s="1"/>
  <c r="I19" i="10" a="1"/>
  <c r="I19" i="10" s="1"/>
  <c r="AB18" i="10"/>
  <c r="AC19" i="10"/>
  <c r="AB20" i="10"/>
  <c r="AB11" i="10"/>
  <c r="AB15" i="10"/>
  <c r="E40" i="34"/>
  <c r="E40" i="36"/>
  <c r="J55" i="36"/>
  <c r="G23" i="38"/>
  <c r="G23" i="33"/>
  <c r="G25" i="33" s="1"/>
  <c r="G74" i="33" s="1"/>
  <c r="J55" i="34"/>
  <c r="E40" i="35"/>
  <c r="I40" i="35"/>
  <c r="E23" i="36"/>
  <c r="I23" i="36"/>
  <c r="E40" i="37"/>
  <c r="I40" i="37"/>
  <c r="J55" i="37"/>
  <c r="G40" i="38"/>
  <c r="E23" i="33"/>
  <c r="J55" i="33"/>
  <c r="G40" i="36"/>
  <c r="I23" i="39"/>
  <c r="I40" i="38"/>
  <c r="E23" i="32"/>
  <c r="E24" i="32" s="1"/>
  <c r="E25" i="32" s="1"/>
  <c r="E74" i="32" s="1"/>
  <c r="I40" i="33"/>
  <c r="E40" i="31"/>
  <c r="J55" i="31"/>
  <c r="I23" i="33"/>
  <c r="G40" i="33"/>
  <c r="I40" i="34"/>
  <c r="I40" i="36"/>
  <c r="E23" i="39"/>
  <c r="I25" i="39"/>
  <c r="I74" i="39" s="1"/>
  <c r="E40" i="32"/>
  <c r="I23" i="37"/>
  <c r="E23" i="31"/>
  <c r="E24" i="31" s="1"/>
  <c r="E25" i="31" s="1"/>
  <c r="E74" i="31" s="1"/>
  <c r="E40" i="33"/>
  <c r="E23" i="30"/>
  <c r="E24" i="30" s="1"/>
  <c r="E25" i="30" s="1"/>
  <c r="E74" i="30" s="1"/>
  <c r="E40" i="30"/>
  <c r="I40" i="30"/>
  <c r="I23" i="31"/>
  <c r="I24" i="31" s="1"/>
  <c r="I25" i="31" s="1"/>
  <c r="I74" i="31" s="1"/>
  <c r="G40" i="31"/>
  <c r="G40" i="32"/>
  <c r="I23" i="35"/>
  <c r="I25" i="35" s="1"/>
  <c r="I74" i="35" s="1"/>
  <c r="G40" i="37"/>
  <c r="G40" i="30"/>
  <c r="I40" i="32"/>
  <c r="G40" i="34"/>
  <c r="E23" i="35"/>
  <c r="E25" i="35" s="1"/>
  <c r="E74" i="35" s="1"/>
  <c r="E40" i="38"/>
  <c r="J55" i="38"/>
  <c r="J55" i="39"/>
  <c r="AB12" i="10"/>
  <c r="AB16" i="10"/>
  <c r="AC18" i="10"/>
  <c r="E23" i="34"/>
  <c r="E25" i="34" s="1"/>
  <c r="E74" i="34" s="1"/>
  <c r="I23" i="32"/>
  <c r="AB14" i="10"/>
  <c r="AH18" i="10"/>
  <c r="AE19" i="10"/>
  <c r="AH17" i="10"/>
  <c r="AC12" i="10"/>
  <c r="AC16" i="10"/>
  <c r="AC15" i="10"/>
  <c r="AC11" i="10"/>
  <c r="Y14" i="10"/>
  <c r="AC20" i="10"/>
  <c r="AH20" i="10"/>
  <c r="E13" i="10" a="1"/>
  <c r="E13" i="10" s="1"/>
  <c r="B13" i="44" s="1"/>
  <c r="AC14" i="10"/>
  <c r="AC17" i="10"/>
  <c r="AB19" i="10"/>
  <c r="AN20" i="24"/>
  <c r="AR55" i="24"/>
  <c r="AQ15" i="24"/>
  <c r="G37" i="24"/>
  <c r="AO52" i="24"/>
  <c r="AN19" i="24"/>
  <c r="AQ55" i="24"/>
  <c r="AO61" i="24"/>
  <c r="AR19" i="24"/>
  <c r="AR58" i="24"/>
  <c r="AN61" i="24"/>
  <c r="AN52" i="24"/>
  <c r="G53" i="24"/>
  <c r="G34" i="24"/>
  <c r="AO55" i="24"/>
  <c r="G52" i="24"/>
  <c r="AN58" i="24"/>
  <c r="AQ58" i="24"/>
  <c r="AQ12" i="24"/>
  <c r="AR61" i="24"/>
  <c r="AR52" i="24"/>
  <c r="AN55" i="24"/>
  <c r="AQ61" i="24"/>
  <c r="AQ52" i="24"/>
  <c r="AO58" i="24"/>
  <c r="G60" i="24"/>
  <c r="AO21" i="24"/>
  <c r="G57" i="24"/>
  <c r="G13" i="24"/>
  <c r="G14" i="24"/>
  <c r="AN16" i="24"/>
  <c r="G19" i="24"/>
  <c r="AQ19" i="24"/>
  <c r="AN21" i="24"/>
  <c r="G39" i="24"/>
  <c r="G56" i="24"/>
  <c r="AO13" i="24"/>
  <c r="AQ13" i="24"/>
  <c r="G16" i="24"/>
  <c r="AO16" i="24"/>
  <c r="AQ21" i="24"/>
  <c r="G40" i="24"/>
  <c r="AR13" i="24"/>
  <c r="G20" i="24"/>
  <c r="AR21" i="24"/>
  <c r="G32" i="24"/>
  <c r="G54" i="24"/>
  <c r="AR16" i="24"/>
  <c r="G18" i="24"/>
  <c r="G58" i="24"/>
  <c r="G12" i="24"/>
  <c r="AN13" i="24"/>
  <c r="AO19" i="24"/>
  <c r="G38" i="24"/>
  <c r="G36" i="24"/>
  <c r="G59" i="24"/>
  <c r="G55" i="24"/>
  <c r="G15" i="24"/>
  <c r="G33" i="24"/>
  <c r="G17" i="24"/>
  <c r="G35" i="24"/>
  <c r="AE12" i="10"/>
  <c r="AH14" i="10"/>
  <c r="AG13" i="10"/>
  <c r="AE17" i="10"/>
  <c r="AH16" i="10"/>
  <c r="CB15" i="10"/>
  <c r="L18" i="10"/>
  <c r="CC15" i="10"/>
  <c r="CC17" i="10"/>
  <c r="CC12" i="10"/>
  <c r="BX18" i="10"/>
  <c r="BW19" i="10"/>
  <c r="BV15" i="10"/>
  <c r="L16" i="10"/>
  <c r="BV17" i="10"/>
  <c r="BX20" i="10"/>
  <c r="CB13" i="10"/>
  <c r="W12" i="10"/>
  <c r="BX16" i="10"/>
  <c r="BW17" i="10"/>
  <c r="BY18" i="10"/>
  <c r="P18" i="44" s="1"/>
  <c r="CB20" i="10"/>
  <c r="BX14" i="10"/>
  <c r="BW15" i="10"/>
  <c r="W20" i="10"/>
  <c r="CA11" i="10"/>
  <c r="BX12" i="10"/>
  <c r="BW13" i="10"/>
  <c r="BZ16" i="10"/>
  <c r="W18" i="10"/>
  <c r="L19" i="10"/>
  <c r="W19" i="10"/>
  <c r="CA19" i="10"/>
  <c r="BV20" i="10"/>
  <c r="L11" i="10"/>
  <c r="BV11" i="10"/>
  <c r="BY12" i="10"/>
  <c r="P12" i="44" s="1"/>
  <c r="BZ14" i="10"/>
  <c r="W16" i="10"/>
  <c r="W17" i="10"/>
  <c r="CA17" i="10"/>
  <c r="CC18" i="10"/>
  <c r="BZ11" i="10"/>
  <c r="BY16" i="10"/>
  <c r="P16" i="44" s="1"/>
  <c r="L12" i="10"/>
  <c r="BY14" i="10"/>
  <c r="P14" i="44" s="1"/>
  <c r="BZ12" i="10"/>
  <c r="W14" i="10"/>
  <c r="W15" i="10"/>
  <c r="CA15" i="10"/>
  <c r="CC16" i="10"/>
  <c r="CB19" i="10"/>
  <c r="BW20" i="10"/>
  <c r="W11" i="10"/>
  <c r="BV13" i="10"/>
  <c r="CC13" i="10"/>
  <c r="L14" i="10"/>
  <c r="BZ18" i="10"/>
  <c r="BW11" i="10"/>
  <c r="CD11" i="10"/>
  <c r="W13" i="10"/>
  <c r="CA13" i="10"/>
  <c r="CC14" i="10"/>
  <c r="CB17" i="10"/>
  <c r="BV19" i="10"/>
  <c r="CC19" i="10"/>
  <c r="BX11" i="10"/>
  <c r="CB11" i="10"/>
  <c r="BV12" i="10"/>
  <c r="CA12" i="10"/>
  <c r="BX13" i="10"/>
  <c r="BV14" i="10"/>
  <c r="CA14" i="10"/>
  <c r="BX15" i="10"/>
  <c r="BV16" i="10"/>
  <c r="CA16" i="10"/>
  <c r="BX17" i="10"/>
  <c r="BV18" i="10"/>
  <c r="CA18" i="10"/>
  <c r="BX19" i="10"/>
  <c r="BZ20" i="10"/>
  <c r="L13" i="10"/>
  <c r="BY13" i="10"/>
  <c r="P13" i="44" s="1"/>
  <c r="L15" i="10"/>
  <c r="BY15" i="10"/>
  <c r="P15" i="44" s="1"/>
  <c r="L17" i="10"/>
  <c r="BY17" i="10"/>
  <c r="P17" i="44" s="1"/>
  <c r="BY19" i="10"/>
  <c r="P19" i="44" s="1"/>
  <c r="BY11" i="10"/>
  <c r="P11" i="44" s="1"/>
  <c r="CC11" i="10"/>
  <c r="BW12" i="10"/>
  <c r="CB12" i="10"/>
  <c r="BZ13" i="10"/>
  <c r="BW14" i="10"/>
  <c r="CB14" i="10"/>
  <c r="BZ15" i="10"/>
  <c r="BW16" i="10"/>
  <c r="CB16" i="10"/>
  <c r="BZ17" i="10"/>
  <c r="BW18" i="10"/>
  <c r="CB18" i="10"/>
  <c r="BZ19" i="10"/>
  <c r="CA20" i="10"/>
  <c r="BY20" i="10"/>
  <c r="P20" i="44" s="1"/>
  <c r="CC20" i="10"/>
  <c r="F18" i="10" a="1"/>
  <c r="F18" i="10" s="1"/>
  <c r="AE18" i="10"/>
  <c r="AH11" i="10"/>
  <c r="F16" i="10" a="1"/>
  <c r="F16" i="10" s="1"/>
  <c r="AE16" i="10"/>
  <c r="AK20" i="10"/>
  <c r="AI20" i="10"/>
  <c r="AG20" i="10"/>
  <c r="E20" i="10" a="1"/>
  <c r="E20" i="10" s="1"/>
  <c r="B20" i="44" s="1"/>
  <c r="F14" i="10" a="1"/>
  <c r="F14" i="10" s="1"/>
  <c r="G14" i="10" s="1" a="1"/>
  <c r="G14" i="10" s="1"/>
  <c r="AE14" i="10"/>
  <c r="AE11" i="10"/>
  <c r="F12" i="10" a="1"/>
  <c r="F12" i="10" s="1"/>
  <c r="G12" i="10" s="1" a="1"/>
  <c r="G12" i="10" s="1"/>
  <c r="AH12" i="10"/>
  <c r="F19" i="10" a="1"/>
  <c r="F19" i="10" s="1"/>
  <c r="AG19" i="10"/>
  <c r="AK11" i="10"/>
  <c r="AI11" i="10"/>
  <c r="AG11" i="10"/>
  <c r="AK18" i="10"/>
  <c r="AG18" i="10"/>
  <c r="AI18" i="10"/>
  <c r="E18" i="10" a="1"/>
  <c r="E18" i="10" s="1"/>
  <c r="B18" i="44" s="1"/>
  <c r="F20" i="10" a="1"/>
  <c r="F20" i="10" s="1"/>
  <c r="AE20" i="10"/>
  <c r="AG12" i="10"/>
  <c r="AK14" i="10"/>
  <c r="AG14" i="10"/>
  <c r="E14" i="10" a="1"/>
  <c r="E14" i="10" s="1"/>
  <c r="B14" i="44" s="1"/>
  <c r="AI14" i="10"/>
  <c r="E11" i="10" a="1"/>
  <c r="E11" i="10" s="1"/>
  <c r="B11" i="44" s="1"/>
  <c r="AK12" i="10"/>
  <c r="AI12" i="10"/>
  <c r="E12" i="10" a="1"/>
  <c r="E12" i="10" s="1"/>
  <c r="B12" i="44" s="1"/>
  <c r="AB13" i="10"/>
  <c r="Y13" i="10"/>
  <c r="AH13" i="10"/>
  <c r="AC13" i="10"/>
  <c r="AK15" i="10"/>
  <c r="AI15" i="10"/>
  <c r="E15" i="10" a="1"/>
  <c r="E15" i="10" s="1"/>
  <c r="B15" i="44" s="1"/>
  <c r="AG15" i="10"/>
  <c r="AE15" i="10"/>
  <c r="AK16" i="10"/>
  <c r="AG16" i="10"/>
  <c r="E16" i="10" a="1"/>
  <c r="E16" i="10" s="1"/>
  <c r="B16" i="44" s="1"/>
  <c r="AI16" i="10"/>
  <c r="AK17" i="10"/>
  <c r="AI17" i="10"/>
  <c r="E17" i="10" a="1"/>
  <c r="E17" i="10" s="1"/>
  <c r="B17" i="44" s="1"/>
  <c r="AG17" i="10"/>
  <c r="AE13" i="10"/>
  <c r="AH19" i="10"/>
  <c r="AH15" i="10"/>
  <c r="AK13" i="10"/>
  <c r="AI13" i="10"/>
  <c r="AB17" i="10"/>
  <c r="AK19" i="10"/>
  <c r="AI19" i="10"/>
  <c r="E25" i="39"/>
  <c r="E74" i="39" s="1"/>
  <c r="I25" i="36"/>
  <c r="I74" i="36" s="1"/>
  <c r="G23" i="32"/>
  <c r="G23" i="36"/>
  <c r="G25" i="36" s="1"/>
  <c r="G23" i="35"/>
  <c r="G25" i="35" s="1"/>
  <c r="G25" i="38"/>
  <c r="G74" i="38" s="1"/>
  <c r="G23" i="39"/>
  <c r="E25" i="33"/>
  <c r="E74" i="33" s="1"/>
  <c r="E23" i="38"/>
  <c r="I25" i="38"/>
  <c r="G23" i="34"/>
  <c r="G25" i="34" s="1"/>
  <c r="G74" i="34" s="1"/>
  <c r="G25" i="37"/>
  <c r="G74" i="37" s="1"/>
  <c r="I25" i="33"/>
  <c r="I74" i="33" s="1"/>
  <c r="I23" i="34"/>
  <c r="E25" i="36"/>
  <c r="E74" i="36" s="1"/>
  <c r="E23" i="37"/>
  <c r="E25" i="37" s="1"/>
  <c r="I25" i="37"/>
  <c r="I74" i="37" s="1"/>
  <c r="I23" i="38"/>
  <c r="G23" i="31"/>
  <c r="G23" i="30"/>
  <c r="I23" i="30"/>
  <c r="L40" i="24" a="1"/>
  <c r="J15" i="24" a="1"/>
  <c r="D23" i="8" a="1"/>
  <c r="J60" i="24" a="1"/>
  <c r="CD14" i="10" a="1"/>
  <c r="L20" i="10" a="1"/>
  <c r="AR18" i="24" a="1"/>
  <c r="K12" i="24" a="1"/>
  <c r="AR20" i="24" a="1"/>
  <c r="L16" i="24" a="1"/>
  <c r="L35" i="24" a="1"/>
  <c r="J19" i="24" a="1"/>
  <c r="AO17" i="24" a="1"/>
  <c r="AO12" i="24" a="1"/>
  <c r="J52" i="24" a="1"/>
  <c r="K16" i="24" a="1"/>
  <c r="L15" i="24" a="1"/>
  <c r="AQ14" i="24" a="1"/>
  <c r="K37" i="24" a="1"/>
  <c r="J53" i="24" a="1"/>
  <c r="L39" i="24" a="1"/>
  <c r="F57" i="24" a="1"/>
  <c r="F19" i="8" a="1"/>
  <c r="K32" i="24" a="1"/>
  <c r="K58" i="24" a="1"/>
  <c r="K40" i="24" a="1"/>
  <c r="J40" i="24" a="1"/>
  <c r="D18" i="8" a="1"/>
  <c r="AQ20" i="24" a="1"/>
  <c r="J38" i="24" a="1"/>
  <c r="J34" i="24" a="1"/>
  <c r="AO20" i="24" a="1"/>
  <c r="AQ18" i="24" a="1"/>
  <c r="K34" i="24" a="1"/>
  <c r="K57" i="24" a="1"/>
  <c r="CD19" i="10" a="1"/>
  <c r="CD18" i="10" a="1"/>
  <c r="D19" i="8" a="1"/>
  <c r="J59" i="24" a="1"/>
  <c r="K54" i="24" a="1"/>
  <c r="E22" i="8" a="1"/>
  <c r="AR15" i="24" a="1"/>
  <c r="K60" i="24" a="1"/>
  <c r="AQ16" i="24" a="1"/>
  <c r="E21" i="8" a="1"/>
  <c r="K18" i="24" a="1"/>
  <c r="AN14" i="24" a="1"/>
  <c r="L59" i="24" a="1"/>
  <c r="K36" i="24" a="1"/>
  <c r="CD13" i="10" a="1"/>
  <c r="K17" i="24" a="1"/>
  <c r="J18" i="24" a="1"/>
  <c r="AN18" i="24" a="1"/>
  <c r="J39" i="24" a="1"/>
  <c r="J20" i="24" a="1"/>
  <c r="L57" i="24" a="1"/>
  <c r="AO18" i="24" a="1"/>
  <c r="J36" i="24" a="1"/>
  <c r="J56" i="24" a="1"/>
  <c r="L36" i="24" a="1"/>
  <c r="D24" i="8" a="1"/>
  <c r="AR12" i="24" a="1"/>
  <c r="J14" i="24" a="1"/>
  <c r="D21" i="8" a="1"/>
  <c r="K59" i="24" a="1"/>
  <c r="F17" i="24" a="1"/>
  <c r="K15" i="24" a="1"/>
  <c r="L55" i="24" a="1"/>
  <c r="E26" i="8" a="1"/>
  <c r="CD12" i="10" a="1"/>
  <c r="J37" i="24" a="1"/>
  <c r="AR17" i="24" a="1"/>
  <c r="F21" i="8" a="1"/>
  <c r="L18" i="24" a="1"/>
  <c r="J12" i="24" a="1"/>
  <c r="J32" i="24" a="1"/>
  <c r="J13" i="24" a="1"/>
  <c r="J35" i="24" a="1"/>
  <c r="E25" i="8" a="1"/>
  <c r="L14" i="24" a="1"/>
  <c r="F23" i="8" a="1"/>
  <c r="L17" i="24" a="1"/>
  <c r="CD20" i="10" a="1"/>
  <c r="K14" i="24" a="1"/>
  <c r="K53" i="24" a="1"/>
  <c r="AN15" i="24" a="1"/>
  <c r="K56" i="24" a="1"/>
  <c r="F24" i="8" a="1"/>
  <c r="J16" i="24" a="1"/>
  <c r="K35" i="24" a="1"/>
  <c r="L61" i="24" a="1"/>
  <c r="F37" i="24" a="1"/>
  <c r="L13" i="24" a="1"/>
  <c r="CD17" i="10" a="1"/>
  <c r="J58" i="24" a="1"/>
  <c r="L58" i="24" a="1"/>
  <c r="K55" i="24" a="1"/>
  <c r="J57" i="24" a="1"/>
  <c r="F25" i="8" a="1"/>
  <c r="K52" i="24" a="1"/>
  <c r="CD16" i="10" a="1"/>
  <c r="CD15" i="10" a="1"/>
  <c r="D22" i="8" a="1"/>
  <c r="J33" i="24" a="1"/>
  <c r="J54" i="24" a="1"/>
  <c r="K19" i="24" a="1"/>
  <c r="AO14" i="24" a="1"/>
  <c r="AR14" i="24" a="1"/>
  <c r="AN12" i="24" a="1"/>
  <c r="AO15" i="24" a="1"/>
  <c r="AN17" i="24" a="1"/>
  <c r="L12" i="24" a="1"/>
  <c r="AQ17" i="24" a="1"/>
  <c r="K13" i="24" a="1"/>
  <c r="K39" i="24" a="1"/>
  <c r="D20" i="8" a="1"/>
  <c r="K38" i="24" a="1"/>
  <c r="K20" i="24" a="1"/>
  <c r="J55" i="24" a="1"/>
  <c r="K33" i="24" a="1"/>
  <c r="J17" i="24" a="1"/>
  <c r="L21" i="24" a="1"/>
  <c r="C23" i="8" l="1"/>
  <c r="M15" i="10"/>
  <c r="M17" i="10"/>
  <c r="AO17" i="10" s="1" a="1"/>
  <c r="AO17" i="10" s="1"/>
  <c r="AY14" i="10" a="1"/>
  <c r="AY14" i="10" s="1"/>
  <c r="AY19" i="10" a="1"/>
  <c r="AY19" i="10" s="1"/>
  <c r="AY15" i="10" a="1"/>
  <c r="AY15" i="10" s="1"/>
  <c r="AY17" i="10" a="1"/>
  <c r="AY17" i="10" s="1"/>
  <c r="AY16" i="10" a="1"/>
  <c r="AY16" i="10" s="1"/>
  <c r="AY11" i="10" a="1"/>
  <c r="AY11" i="10" s="1"/>
  <c r="AY18" i="10" a="1"/>
  <c r="AY18" i="10" s="1"/>
  <c r="AY20" i="10" a="1"/>
  <c r="AY20" i="10" s="1"/>
  <c r="AY13" i="10" a="1"/>
  <c r="AY13" i="10" s="1"/>
  <c r="AY12" i="10" a="1"/>
  <c r="AY12" i="10" s="1"/>
  <c r="N11" i="10"/>
  <c r="C17" i="8"/>
  <c r="M11" i="10"/>
  <c r="N15" i="10"/>
  <c r="C21" i="8"/>
  <c r="M13" i="10"/>
  <c r="N13" i="10"/>
  <c r="C19" i="8"/>
  <c r="B6" i="31"/>
  <c r="K15" i="24"/>
  <c r="U15" i="24" s="1"/>
  <c r="K55" i="24"/>
  <c r="U55" i="24" s="1"/>
  <c r="K35" i="24"/>
  <c r="R35" i="24" s="1"/>
  <c r="K17" i="24"/>
  <c r="AK17" i="24" s="1"/>
  <c r="K57" i="24"/>
  <c r="R57" i="24" s="1"/>
  <c r="K37" i="24"/>
  <c r="AJ37" i="24" s="1"/>
  <c r="K33" i="24"/>
  <c r="U33" i="24" s="1"/>
  <c r="K53" i="24"/>
  <c r="U53" i="24" s="1"/>
  <c r="K13" i="24"/>
  <c r="AK13" i="24" s="1"/>
  <c r="B6" i="33"/>
  <c r="B6" i="35"/>
  <c r="S11" i="44"/>
  <c r="S13" i="44"/>
  <c r="S15" i="44"/>
  <c r="S20" i="44"/>
  <c r="S12" i="44"/>
  <c r="S17" i="44"/>
  <c r="S18" i="44"/>
  <c r="S16" i="44"/>
  <c r="S19" i="44"/>
  <c r="S14" i="44"/>
  <c r="R15" i="44"/>
  <c r="R12" i="44"/>
  <c r="R11" i="44"/>
  <c r="R17" i="44"/>
  <c r="R13" i="44"/>
  <c r="R20" i="44"/>
  <c r="R18" i="44"/>
  <c r="R19" i="44"/>
  <c r="R16" i="44"/>
  <c r="R14" i="44"/>
  <c r="AL14" i="10"/>
  <c r="E9" i="32" s="1"/>
  <c r="AL13" i="10"/>
  <c r="E9" i="31" s="1"/>
  <c r="AL16" i="10"/>
  <c r="E9" i="34" s="1"/>
  <c r="AL18" i="10"/>
  <c r="E9" i="36" s="1"/>
  <c r="AL11" i="10"/>
  <c r="AL19" i="10"/>
  <c r="E9" i="37" s="1"/>
  <c r="AL20" i="10"/>
  <c r="E9" i="38" s="1"/>
  <c r="AL17" i="10"/>
  <c r="E9" i="35" s="1"/>
  <c r="AL15" i="10"/>
  <c r="E9" i="33" s="1"/>
  <c r="AL12" i="10"/>
  <c r="E9" i="30" s="1"/>
  <c r="E17" i="44"/>
  <c r="F17" i="44"/>
  <c r="G17" i="44"/>
  <c r="C17" i="44"/>
  <c r="H17" i="44"/>
  <c r="D17" i="44"/>
  <c r="F11" i="44"/>
  <c r="C11" i="44"/>
  <c r="H11" i="44"/>
  <c r="E11" i="44"/>
  <c r="D11" i="44"/>
  <c r="G11" i="44"/>
  <c r="F16" i="44"/>
  <c r="H16" i="44"/>
  <c r="E16" i="44"/>
  <c r="G16" i="44"/>
  <c r="C16" i="44"/>
  <c r="D16" i="44"/>
  <c r="H18" i="44"/>
  <c r="G18" i="44"/>
  <c r="F18" i="44"/>
  <c r="C18" i="44"/>
  <c r="E18" i="44"/>
  <c r="D18" i="44"/>
  <c r="F14" i="44"/>
  <c r="D14" i="44"/>
  <c r="G14" i="44"/>
  <c r="C14" i="44"/>
  <c r="H14" i="44"/>
  <c r="E14" i="44"/>
  <c r="H13" i="44"/>
  <c r="C13" i="44"/>
  <c r="F13" i="44"/>
  <c r="E13" i="44"/>
  <c r="D13" i="44"/>
  <c r="G13" i="44"/>
  <c r="H12" i="44"/>
  <c r="E12" i="44"/>
  <c r="G12" i="44"/>
  <c r="C12" i="44"/>
  <c r="D12" i="44"/>
  <c r="F12" i="44"/>
  <c r="E15" i="44"/>
  <c r="D15" i="44"/>
  <c r="F15" i="44"/>
  <c r="G15" i="44"/>
  <c r="H15" i="44"/>
  <c r="C15" i="44"/>
  <c r="H20" i="44"/>
  <c r="F20" i="44"/>
  <c r="C20" i="44"/>
  <c r="E20" i="44"/>
  <c r="G20" i="44"/>
  <c r="D20" i="44"/>
  <c r="H19" i="44"/>
  <c r="G19" i="44"/>
  <c r="E19" i="44"/>
  <c r="D19" i="44"/>
  <c r="F19" i="44"/>
  <c r="C19" i="44"/>
  <c r="Q11" i="44"/>
  <c r="Q13" i="44"/>
  <c r="Q17" i="44"/>
  <c r="Q18" i="44"/>
  <c r="Q20" i="44"/>
  <c r="Q15" i="44"/>
  <c r="Q12" i="44"/>
  <c r="Q19" i="44"/>
  <c r="Q14" i="44"/>
  <c r="Q16" i="44"/>
  <c r="O19" i="44"/>
  <c r="O17" i="44"/>
  <c r="O18" i="44"/>
  <c r="O16" i="44"/>
  <c r="O11" i="44"/>
  <c r="O12" i="44"/>
  <c r="O15" i="44"/>
  <c r="O20" i="44"/>
  <c r="O13" i="44"/>
  <c r="O14" i="44"/>
  <c r="N18" i="44"/>
  <c r="N13" i="44"/>
  <c r="N17" i="44"/>
  <c r="N19" i="44"/>
  <c r="N12" i="44"/>
  <c r="N11" i="44"/>
  <c r="N15" i="44"/>
  <c r="N16" i="44"/>
  <c r="N14" i="44"/>
  <c r="N20" i="44"/>
  <c r="M15" i="44"/>
  <c r="M11" i="44"/>
  <c r="M16" i="44"/>
  <c r="M20" i="44"/>
  <c r="M19" i="44"/>
  <c r="M14" i="44"/>
  <c r="M12" i="44"/>
  <c r="M13" i="44"/>
  <c r="M17" i="44"/>
  <c r="M18" i="44"/>
  <c r="CD19" i="10"/>
  <c r="CD14" i="10"/>
  <c r="CD18" i="10"/>
  <c r="CD15" i="10"/>
  <c r="CD12" i="10"/>
  <c r="CD16" i="10"/>
  <c r="CD20" i="10"/>
  <c r="CD17" i="10"/>
  <c r="CD13" i="10"/>
  <c r="B5" i="37"/>
  <c r="B25" i="8"/>
  <c r="B6" i="30"/>
  <c r="B6" i="32"/>
  <c r="B6" i="38"/>
  <c r="B6" i="37"/>
  <c r="B6" i="34"/>
  <c r="B6" i="36"/>
  <c r="J59" i="24"/>
  <c r="J19" i="24"/>
  <c r="J39" i="24"/>
  <c r="I24" i="30"/>
  <c r="I25" i="30" s="1"/>
  <c r="I74" i="30" s="1"/>
  <c r="G24" i="30"/>
  <c r="G25" i="30" s="1"/>
  <c r="G74" i="30" s="1"/>
  <c r="G24" i="31"/>
  <c r="G25" i="31" s="1"/>
  <c r="G74" i="31" s="1"/>
  <c r="I24" i="32"/>
  <c r="I25" i="32" s="1"/>
  <c r="I74" i="32" s="1"/>
  <c r="G24" i="32"/>
  <c r="G25" i="32" s="1"/>
  <c r="G74" i="32" s="1"/>
  <c r="B5" i="36"/>
  <c r="B5" i="35"/>
  <c r="A1" i="35" s="1" a="1"/>
  <c r="A1" i="35" s="1"/>
  <c r="B5" i="30"/>
  <c r="A1" i="30" s="1" a="1"/>
  <c r="A1" i="30" s="1"/>
  <c r="B5" i="33"/>
  <c r="B17" i="8"/>
  <c r="B5" i="38"/>
  <c r="A1" i="38" s="1" a="1"/>
  <c r="A1" i="38" s="1"/>
  <c r="B5" i="34"/>
  <c r="A1" i="34" s="1" a="1"/>
  <c r="A1" i="34" s="1"/>
  <c r="B5" i="32"/>
  <c r="B5" i="31"/>
  <c r="L17" i="24"/>
  <c r="D23" i="8"/>
  <c r="L61" i="24"/>
  <c r="L21" i="24"/>
  <c r="L40" i="24"/>
  <c r="E26" i="8"/>
  <c r="F24" i="8"/>
  <c r="L39" i="24"/>
  <c r="L59" i="24"/>
  <c r="E25" i="8"/>
  <c r="L57" i="24"/>
  <c r="F23" i="8"/>
  <c r="F25" i="8"/>
  <c r="L58" i="24"/>
  <c r="L18" i="24"/>
  <c r="D24" i="8"/>
  <c r="I74" i="38"/>
  <c r="G25" i="39"/>
  <c r="G74" i="39" s="1"/>
  <c r="J74" i="39" s="1"/>
  <c r="B19" i="8"/>
  <c r="AV54" i="24"/>
  <c r="AV58" i="24"/>
  <c r="AM58" i="24" s="1" a="1"/>
  <c r="AM58" i="24" s="1"/>
  <c r="AV13" i="24"/>
  <c r="AM13" i="24" s="1" a="1"/>
  <c r="AM13" i="24" s="1"/>
  <c r="AV56" i="24"/>
  <c r="AM56" i="24" s="1" a="1"/>
  <c r="AM56" i="24" s="1"/>
  <c r="AV41" i="24"/>
  <c r="AM41" i="24" s="1" a="1"/>
  <c r="AM41" i="24" s="1"/>
  <c r="AV21" i="24"/>
  <c r="AM21" i="24" s="1" a="1"/>
  <c r="AM21" i="24" s="1"/>
  <c r="AV37" i="24"/>
  <c r="AM37" i="24" s="1" a="1"/>
  <c r="AM37" i="24" s="1"/>
  <c r="AV33" i="24"/>
  <c r="AM33" i="24" s="1" a="1"/>
  <c r="AM33" i="24" s="1"/>
  <c r="AV60" i="24"/>
  <c r="AM60" i="24" s="1" a="1"/>
  <c r="AM60" i="24" s="1"/>
  <c r="AV19" i="24"/>
  <c r="AM19" i="24" s="1" a="1"/>
  <c r="AM19" i="24" s="1"/>
  <c r="AV55" i="24"/>
  <c r="AM55" i="24" s="1" a="1"/>
  <c r="AM55" i="24" s="1"/>
  <c r="AV59" i="24"/>
  <c r="AM59" i="24" s="1" a="1"/>
  <c r="AM59" i="24" s="1"/>
  <c r="AV52" i="24"/>
  <c r="AM52" i="24" s="1" a="1"/>
  <c r="AM52" i="24" s="1"/>
  <c r="AV39" i="24"/>
  <c r="AM39" i="24" s="1" a="1"/>
  <c r="AM39" i="24" s="1"/>
  <c r="AV61" i="24"/>
  <c r="AM61" i="24" s="1" a="1"/>
  <c r="AM61" i="24" s="1"/>
  <c r="AV53" i="24"/>
  <c r="AM53" i="24" s="1" a="1"/>
  <c r="AM53" i="24" s="1"/>
  <c r="L12" i="24"/>
  <c r="D18" i="8"/>
  <c r="F21" i="8"/>
  <c r="L14" i="24"/>
  <c r="D20" i="8"/>
  <c r="L16" i="24"/>
  <c r="D22" i="8"/>
  <c r="L13" i="24"/>
  <c r="D19" i="8"/>
  <c r="L35" i="24"/>
  <c r="E21" i="8"/>
  <c r="F19" i="8"/>
  <c r="L36" i="24"/>
  <c r="E22" i="8"/>
  <c r="L15" i="24"/>
  <c r="L55" i="24"/>
  <c r="D21" i="8"/>
  <c r="J35" i="24"/>
  <c r="J15" i="24"/>
  <c r="J55" i="24"/>
  <c r="K16" i="24"/>
  <c r="K36" i="24"/>
  <c r="K56" i="24"/>
  <c r="J32" i="24"/>
  <c r="J12" i="24"/>
  <c r="J52" i="24"/>
  <c r="K32" i="24"/>
  <c r="K52" i="24"/>
  <c r="K12" i="24"/>
  <c r="J16" i="24"/>
  <c r="J56" i="24"/>
  <c r="J36" i="24"/>
  <c r="K40" i="24"/>
  <c r="K60" i="24"/>
  <c r="K20" i="24"/>
  <c r="F37" i="24"/>
  <c r="F17" i="24"/>
  <c r="F57" i="24"/>
  <c r="K34" i="24"/>
  <c r="K14" i="24"/>
  <c r="K54" i="24"/>
  <c r="J33" i="24"/>
  <c r="J13" i="24"/>
  <c r="J53" i="24"/>
  <c r="J34" i="24"/>
  <c r="J54" i="24"/>
  <c r="J14" i="24"/>
  <c r="J40" i="24"/>
  <c r="J20" i="24"/>
  <c r="J60" i="24"/>
  <c r="K38" i="24"/>
  <c r="K58" i="24"/>
  <c r="K18" i="24"/>
  <c r="J57" i="24"/>
  <c r="J17" i="24"/>
  <c r="J37" i="24"/>
  <c r="J18" i="24"/>
  <c r="J58" i="24"/>
  <c r="J38" i="24"/>
  <c r="K39" i="24"/>
  <c r="K19" i="24"/>
  <c r="K59" i="24"/>
  <c r="AO15" i="24"/>
  <c r="AO17" i="24"/>
  <c r="AO12" i="24"/>
  <c r="AR20" i="24"/>
  <c r="AQ14" i="24"/>
  <c r="AV34" i="24"/>
  <c r="AN17" i="24"/>
  <c r="AV35" i="24"/>
  <c r="AM35" i="24" s="1" a="1"/>
  <c r="AM35" i="24" s="1"/>
  <c r="AR15" i="24"/>
  <c r="AR12" i="24"/>
  <c r="AN18" i="24"/>
  <c r="AO14" i="24"/>
  <c r="AO18" i="24"/>
  <c r="AR14" i="24"/>
  <c r="AO20" i="24"/>
  <c r="AQ18" i="24"/>
  <c r="AR17" i="24"/>
  <c r="AN14" i="24"/>
  <c r="AQ16" i="24"/>
  <c r="AN15" i="24"/>
  <c r="AQ20" i="24"/>
  <c r="AQ17" i="24"/>
  <c r="AV38" i="24"/>
  <c r="AM38" i="24" s="1" a="1"/>
  <c r="AM38" i="24" s="1"/>
  <c r="AN12" i="24"/>
  <c r="AR18" i="24"/>
  <c r="L20" i="10"/>
  <c r="B21" i="8"/>
  <c r="N18" i="10"/>
  <c r="M18" i="10"/>
  <c r="C24" i="8"/>
  <c r="C26" i="8"/>
  <c r="N20" i="10"/>
  <c r="M20" i="10"/>
  <c r="N14" i="10"/>
  <c r="M14" i="10"/>
  <c r="C20" i="8"/>
  <c r="N19" i="10"/>
  <c r="M19" i="10"/>
  <c r="C25" i="8"/>
  <c r="B18" i="8"/>
  <c r="N12" i="10"/>
  <c r="M12" i="10"/>
  <c r="C18" i="8"/>
  <c r="B22" i="8"/>
  <c r="B26" i="8"/>
  <c r="N16" i="10"/>
  <c r="M16" i="10"/>
  <c r="C22" i="8"/>
  <c r="B23" i="8"/>
  <c r="B24" i="8"/>
  <c r="B20" i="8"/>
  <c r="J74" i="33"/>
  <c r="I25" i="34"/>
  <c r="I74" i="34" s="1"/>
  <c r="G74" i="36"/>
  <c r="E25" i="38"/>
  <c r="E74" i="38" s="1"/>
  <c r="G74" i="35"/>
  <c r="E74" i="37"/>
  <c r="L32" i="24" a="1"/>
  <c r="D25" i="8" a="1"/>
  <c r="G21" i="8" a="1"/>
  <c r="F53" i="24" a="1"/>
  <c r="F16" i="24" a="1"/>
  <c r="BM12" i="10" a="1"/>
  <c r="L41" i="24" a="1"/>
  <c r="L19" i="24" a="1"/>
  <c r="L38" i="24" a="1"/>
  <c r="BN19" i="10" a="1"/>
  <c r="E13" i="24" a="1"/>
  <c r="D26" i="8" a="1"/>
  <c r="F13" i="24" a="1"/>
  <c r="E18" i="24" a="1"/>
  <c r="F38" i="24" a="1"/>
  <c r="E20" i="24" a="1"/>
  <c r="E20" i="8" a="1"/>
  <c r="E52" i="24" a="1"/>
  <c r="L53" i="24" a="1"/>
  <c r="BM14" i="10" a="1"/>
  <c r="F33" i="24" a="1"/>
  <c r="E12" i="24" a="1"/>
  <c r="F15" i="24" a="1"/>
  <c r="BO15" i="10" a="1"/>
  <c r="F14" i="24" a="1"/>
  <c r="E54" i="24" a="1"/>
  <c r="F52" i="24" a="1"/>
  <c r="E60" i="24" a="1"/>
  <c r="E39" i="24" a="1"/>
  <c r="E35" i="24" a="1"/>
  <c r="L54" i="24" a="1"/>
  <c r="F35" i="24" a="1"/>
  <c r="F56" i="24" a="1"/>
  <c r="BM15" i="10" a="1"/>
  <c r="F19" i="24" a="1"/>
  <c r="E53" i="24" a="1"/>
  <c r="L37" i="24" a="1"/>
  <c r="E36" i="24" a="1"/>
  <c r="L56" i="24" a="1"/>
  <c r="BN20" i="10" a="1"/>
  <c r="BN16" i="10" a="1"/>
  <c r="BM13" i="10" a="1"/>
  <c r="E24" i="8" a="1"/>
  <c r="E56" i="24" a="1"/>
  <c r="F60" i="24" a="1"/>
  <c r="F18" i="8" a="1"/>
  <c r="F59" i="24" a="1"/>
  <c r="BM17" i="10" a="1"/>
  <c r="F22" i="8" a="1"/>
  <c r="F20" i="24" a="1"/>
  <c r="E17" i="24" a="1"/>
  <c r="E38" i="24" a="1"/>
  <c r="F55" i="24" a="1"/>
  <c r="E33" i="24" a="1"/>
  <c r="E15" i="24" a="1"/>
  <c r="F36" i="24" a="1"/>
  <c r="BN15" i="10" a="1"/>
  <c r="BO13" i="10" a="1"/>
  <c r="BO18" i="10" a="1"/>
  <c r="E40" i="24" a="1"/>
  <c r="E34" i="24" a="1"/>
  <c r="F20" i="8" a="1"/>
  <c r="E14" i="24" a="1"/>
  <c r="E19" i="24" a="1"/>
  <c r="F34" i="24" a="1"/>
  <c r="F26" i="8" a="1"/>
  <c r="E37" i="24" a="1"/>
  <c r="BO19" i="10" a="1"/>
  <c r="F58" i="24" a="1"/>
  <c r="F54" i="24" a="1"/>
  <c r="L52" i="24" a="1"/>
  <c r="L34" i="24" a="1"/>
  <c r="E55" i="24" a="1"/>
  <c r="F39" i="24" a="1"/>
  <c r="L20" i="24" a="1"/>
  <c r="L33" i="24" a="1"/>
  <c r="E57" i="24" a="1"/>
  <c r="E58" i="24" a="1"/>
  <c r="E16" i="24" a="1"/>
  <c r="L60" i="24" a="1"/>
  <c r="E32" i="24" a="1"/>
  <c r="F18" i="24" a="1"/>
  <c r="E18" i="8" a="1"/>
  <c r="F12" i="24" a="1"/>
  <c r="E23" i="8" a="1"/>
  <c r="BM16" i="10" a="1"/>
  <c r="BO17" i="10" a="1"/>
  <c r="F32" i="24" a="1"/>
  <c r="E19" i="8" a="1"/>
  <c r="E59" i="24" a="1"/>
  <c r="BM18" i="10" a="1"/>
  <c r="F40" i="24" a="1"/>
  <c r="AN17" i="10" l="1" a="1"/>
  <c r="AN17" i="10" s="1"/>
  <c r="E55" i="24"/>
  <c r="E15" i="24"/>
  <c r="E35" i="24"/>
  <c r="E17" i="24"/>
  <c r="E57" i="24"/>
  <c r="E37" i="24"/>
  <c r="AN14" i="10" a="1"/>
  <c r="AN14" i="10" s="1"/>
  <c r="AO14" i="10" a="1"/>
  <c r="AO14" i="10" s="1"/>
  <c r="AN20" i="10" a="1"/>
  <c r="AN20" i="10" s="1"/>
  <c r="AO20" i="10" a="1"/>
  <c r="AO20" i="10" s="1"/>
  <c r="AN18" i="10" a="1"/>
  <c r="AN18" i="10" s="1"/>
  <c r="AO18" i="10" a="1"/>
  <c r="AO18" i="10" s="1"/>
  <c r="AN13" i="10" a="1"/>
  <c r="AN13" i="10" s="1"/>
  <c r="AO13" i="10" a="1"/>
  <c r="AO13" i="10" s="1"/>
  <c r="AO15" i="10" a="1"/>
  <c r="AO15" i="10" s="1"/>
  <c r="AN15" i="10" a="1"/>
  <c r="AN15" i="10" s="1"/>
  <c r="AO11" i="10" a="1"/>
  <c r="AO11" i="10" s="1"/>
  <c r="AN11" i="10" a="1"/>
  <c r="AN11" i="10" s="1"/>
  <c r="AN16" i="10" a="1"/>
  <c r="AN16" i="10" s="1"/>
  <c r="AO16" i="10" a="1"/>
  <c r="AO16" i="10" s="1"/>
  <c r="AN12" i="10" a="1"/>
  <c r="AN12" i="10" s="1"/>
  <c r="AO12" i="10" a="1"/>
  <c r="AO12" i="10" s="1"/>
  <c r="AN19" i="10" a="1"/>
  <c r="AN19" i="10" s="1"/>
  <c r="AO19" i="10" a="1"/>
  <c r="AO19" i="10" s="1"/>
  <c r="S35" i="24"/>
  <c r="AK15" i="24"/>
  <c r="AL15" i="24" s="1"/>
  <c r="Q15" i="24"/>
  <c r="Q35" i="24"/>
  <c r="V35" i="24"/>
  <c r="AK35" i="24"/>
  <c r="Q17" i="24"/>
  <c r="U35" i="24"/>
  <c r="V57" i="24"/>
  <c r="S57" i="24"/>
  <c r="R15" i="24"/>
  <c r="Q57" i="24"/>
  <c r="Q33" i="24"/>
  <c r="Q53" i="24"/>
  <c r="AF57" i="24"/>
  <c r="AK55" i="24"/>
  <c r="AL55" i="24" s="1"/>
  <c r="AA55" i="24"/>
  <c r="S53" i="24"/>
  <c r="Q55" i="24"/>
  <c r="R55" i="24"/>
  <c r="S55" i="24"/>
  <c r="R53" i="24"/>
  <c r="S33" i="24"/>
  <c r="V15" i="24"/>
  <c r="Q13" i="24"/>
  <c r="R13" i="24"/>
  <c r="S15" i="24"/>
  <c r="S13" i="24"/>
  <c r="R37" i="24"/>
  <c r="AH37" i="24"/>
  <c r="F15" i="24"/>
  <c r="AP15" i="24" s="1"/>
  <c r="F35" i="24"/>
  <c r="I35" i="24" s="1"/>
  <c r="F55" i="24"/>
  <c r="AP55" i="24" s="1"/>
  <c r="AJ17" i="24"/>
  <c r="AG17" i="24"/>
  <c r="AF17" i="24"/>
  <c r="AF35" i="24"/>
  <c r="V17" i="24"/>
  <c r="R17" i="24"/>
  <c r="S17" i="24"/>
  <c r="AH17" i="24"/>
  <c r="U17" i="24"/>
  <c r="AL17" i="24" s="1"/>
  <c r="F13" i="24"/>
  <c r="AP13" i="24" s="1"/>
  <c r="F33" i="24"/>
  <c r="AP33" i="24" s="1"/>
  <c r="F53" i="24"/>
  <c r="I53" i="24" s="1"/>
  <c r="E13" i="24"/>
  <c r="E33" i="24"/>
  <c r="E53" i="24"/>
  <c r="AF55" i="24"/>
  <c r="AH57" i="24"/>
  <c r="Q37" i="24"/>
  <c r="AG37" i="24"/>
  <c r="AK57" i="24"/>
  <c r="S37" i="24"/>
  <c r="AF37" i="24"/>
  <c r="AJ57" i="24"/>
  <c r="AG35" i="24"/>
  <c r="AF15" i="24"/>
  <c r="U37" i="24"/>
  <c r="AG57" i="24"/>
  <c r="U57" i="24"/>
  <c r="AK33" i="24"/>
  <c r="AL33" i="24" s="1"/>
  <c r="AG13" i="24"/>
  <c r="AF13" i="24"/>
  <c r="AG33" i="24"/>
  <c r="AK37" i="24"/>
  <c r="V13" i="24"/>
  <c r="AG55" i="24"/>
  <c r="AG53" i="24"/>
  <c r="AK53" i="24"/>
  <c r="AL53" i="24" s="1"/>
  <c r="U13" i="24"/>
  <c r="AL13" i="24" s="1"/>
  <c r="R33" i="24"/>
  <c r="AJ18" i="24"/>
  <c r="AK18" i="24"/>
  <c r="AK32" i="24"/>
  <c r="AJ59" i="24"/>
  <c r="AK59" i="24"/>
  <c r="AJ56" i="24"/>
  <c r="AK56" i="24"/>
  <c r="AJ39" i="24"/>
  <c r="AK39" i="24"/>
  <c r="AK54" i="24"/>
  <c r="AJ36" i="24"/>
  <c r="AK36" i="24"/>
  <c r="AK14" i="24"/>
  <c r="AJ16" i="24"/>
  <c r="AK16" i="24"/>
  <c r="AK34" i="24"/>
  <c r="AJ58" i="24"/>
  <c r="AK58" i="24"/>
  <c r="AJ19" i="24"/>
  <c r="AK19" i="24"/>
  <c r="AJ20" i="24"/>
  <c r="AK20" i="24"/>
  <c r="AJ60" i="24"/>
  <c r="AK60" i="24"/>
  <c r="AJ40" i="24"/>
  <c r="AK40" i="24"/>
  <c r="AJ38" i="24"/>
  <c r="AK38" i="24"/>
  <c r="AK12" i="24"/>
  <c r="AK52" i="24"/>
  <c r="U38" i="24"/>
  <c r="U20" i="24"/>
  <c r="U12" i="24"/>
  <c r="U58" i="24"/>
  <c r="U52" i="24"/>
  <c r="U60" i="24"/>
  <c r="U40" i="24"/>
  <c r="U32" i="24"/>
  <c r="U39" i="24"/>
  <c r="U36" i="24"/>
  <c r="U54" i="24"/>
  <c r="U14" i="24"/>
  <c r="U16" i="24"/>
  <c r="U59" i="24"/>
  <c r="U19" i="24"/>
  <c r="U56" i="24"/>
  <c r="U34" i="24"/>
  <c r="U18" i="24"/>
  <c r="AH19" i="24"/>
  <c r="AH18" i="24"/>
  <c r="AH56" i="24"/>
  <c r="AH60" i="24"/>
  <c r="AH40" i="24"/>
  <c r="AH39" i="24"/>
  <c r="AH36" i="24"/>
  <c r="AH58" i="24"/>
  <c r="AH38" i="24"/>
  <c r="AH20" i="24"/>
  <c r="AH16" i="24"/>
  <c r="AH59" i="24"/>
  <c r="AP17" i="24"/>
  <c r="I17" i="24"/>
  <c r="AP57" i="24"/>
  <c r="I57" i="24"/>
  <c r="AP37" i="24"/>
  <c r="I37" i="24"/>
  <c r="R52" i="24"/>
  <c r="R39" i="24"/>
  <c r="R36" i="24"/>
  <c r="R12" i="24"/>
  <c r="R59" i="24"/>
  <c r="R56" i="24"/>
  <c r="R14" i="24"/>
  <c r="R16" i="24"/>
  <c r="R38" i="24"/>
  <c r="R20" i="24"/>
  <c r="R19" i="24"/>
  <c r="R18" i="24"/>
  <c r="R32" i="24"/>
  <c r="R54" i="24"/>
  <c r="R34" i="24"/>
  <c r="R58" i="24"/>
  <c r="R60" i="24"/>
  <c r="R40" i="24"/>
  <c r="AF19" i="24"/>
  <c r="AG19" i="24"/>
  <c r="AF56" i="24"/>
  <c r="AG56" i="24"/>
  <c r="AF39" i="24"/>
  <c r="AG39" i="24"/>
  <c r="AG54" i="24"/>
  <c r="AF14" i="24"/>
  <c r="AF16" i="24"/>
  <c r="AG16" i="24"/>
  <c r="AG34" i="24"/>
  <c r="AG52" i="24"/>
  <c r="AF59" i="24"/>
  <c r="AG59" i="24"/>
  <c r="AF36" i="24"/>
  <c r="AG36" i="24"/>
  <c r="AF58" i="24"/>
  <c r="AG58" i="24"/>
  <c r="AF60" i="24"/>
  <c r="AG60" i="24"/>
  <c r="AF18" i="24"/>
  <c r="AG18" i="24"/>
  <c r="AF40" i="24"/>
  <c r="AG40" i="24"/>
  <c r="AF38" i="24"/>
  <c r="AG38" i="24"/>
  <c r="AF20" i="24"/>
  <c r="AG20" i="24"/>
  <c r="AF12" i="24"/>
  <c r="AB35" i="24"/>
  <c r="AB53" i="24"/>
  <c r="AB56" i="24"/>
  <c r="AB60" i="24"/>
  <c r="AB52" i="24"/>
  <c r="AA59" i="24"/>
  <c r="AB59" i="24"/>
  <c r="AB19" i="24"/>
  <c r="AA17" i="24"/>
  <c r="AA39" i="24"/>
  <c r="AB39" i="24"/>
  <c r="AB54" i="24"/>
  <c r="AA15" i="24"/>
  <c r="AB55" i="24"/>
  <c r="AB13" i="24"/>
  <c r="AB33" i="24"/>
  <c r="AA14" i="24"/>
  <c r="AA16" i="24"/>
  <c r="AB37" i="24"/>
  <c r="AA58" i="24"/>
  <c r="AB58" i="24"/>
  <c r="AB34" i="24"/>
  <c r="AA18" i="24"/>
  <c r="AB38" i="24"/>
  <c r="AA40" i="24"/>
  <c r="AA12" i="24"/>
  <c r="AA36" i="24"/>
  <c r="AA35" i="24"/>
  <c r="AA13" i="24"/>
  <c r="AA57" i="24"/>
  <c r="L56" i="24"/>
  <c r="AA56" i="24" s="1"/>
  <c r="L52" i="24"/>
  <c r="AA52" i="24" s="1"/>
  <c r="W34" i="24"/>
  <c r="W38" i="24"/>
  <c r="W54" i="24"/>
  <c r="W60" i="24"/>
  <c r="W39" i="24"/>
  <c r="W59" i="24"/>
  <c r="W19" i="24"/>
  <c r="W58" i="24"/>
  <c r="W33" i="24"/>
  <c r="W56" i="24"/>
  <c r="W35" i="24"/>
  <c r="W53" i="24"/>
  <c r="W55" i="24"/>
  <c r="W52" i="24"/>
  <c r="W13" i="24"/>
  <c r="W37" i="24"/>
  <c r="V55" i="24"/>
  <c r="V16" i="24"/>
  <c r="V14" i="24"/>
  <c r="V36" i="24"/>
  <c r="V12" i="24"/>
  <c r="V18" i="24"/>
  <c r="V58" i="24"/>
  <c r="V39" i="24"/>
  <c r="V59" i="24"/>
  <c r="V40" i="24"/>
  <c r="Q20" i="24"/>
  <c r="S32" i="24"/>
  <c r="S16" i="24"/>
  <c r="Q60" i="24"/>
  <c r="S38" i="24"/>
  <c r="S40" i="24"/>
  <c r="F20" i="8"/>
  <c r="L54" i="24"/>
  <c r="V54" i="24" s="1"/>
  <c r="F18" i="8"/>
  <c r="BM18" i="10"/>
  <c r="BO18" i="10"/>
  <c r="K18" i="44" s="1"/>
  <c r="L37" i="24"/>
  <c r="E23" i="8"/>
  <c r="BN20" i="10"/>
  <c r="J20" i="44" s="1"/>
  <c r="BO19" i="10"/>
  <c r="K19" i="44" s="1"/>
  <c r="L19" i="24"/>
  <c r="V19" i="24" s="1"/>
  <c r="D25" i="8"/>
  <c r="L38" i="24"/>
  <c r="V38" i="24" s="1"/>
  <c r="E24" i="8"/>
  <c r="BO17" i="10"/>
  <c r="K17" i="44" s="1"/>
  <c r="L60" i="24"/>
  <c r="V60" i="24" s="1"/>
  <c r="F26" i="8"/>
  <c r="L20" i="24"/>
  <c r="V20" i="24" s="1"/>
  <c r="D26" i="8"/>
  <c r="BN19" i="10"/>
  <c r="J19" i="44" s="1"/>
  <c r="BM17" i="10"/>
  <c r="L41" i="24"/>
  <c r="J74" i="35"/>
  <c r="J74" i="37"/>
  <c r="J74" i="36"/>
  <c r="J74" i="38"/>
  <c r="Q19" i="24"/>
  <c r="S52" i="24"/>
  <c r="Q36" i="24"/>
  <c r="Q14" i="24"/>
  <c r="Q38" i="24"/>
  <c r="AV20" i="24"/>
  <c r="AM20" i="24" s="1" a="1"/>
  <c r="AM20" i="24" s="1"/>
  <c r="S60" i="24"/>
  <c r="AV16" i="24"/>
  <c r="AM16" i="24" s="1" a="1"/>
  <c r="AM16" i="24" s="1"/>
  <c r="AV17" i="24"/>
  <c r="AV12" i="24"/>
  <c r="AM12" i="24" s="1" a="1"/>
  <c r="AM12" i="24" s="1"/>
  <c r="Q54" i="24"/>
  <c r="Q40" i="24"/>
  <c r="AV18" i="24"/>
  <c r="AM18" i="24" s="1" a="1"/>
  <c r="AM18" i="24" s="1"/>
  <c r="AV32" i="24"/>
  <c r="AM32" i="24" s="1" a="1"/>
  <c r="AM32" i="24" s="1"/>
  <c r="AV57" i="24"/>
  <c r="AV36" i="24"/>
  <c r="AM36" i="24" s="1" a="1"/>
  <c r="AM36" i="24" s="1"/>
  <c r="AV14" i="24"/>
  <c r="W14" i="24" s="1"/>
  <c r="AV40" i="24"/>
  <c r="AM40" i="24" s="1" a="1"/>
  <c r="AM40" i="24" s="1"/>
  <c r="AV15" i="24"/>
  <c r="AG15" i="24" s="1"/>
  <c r="Q12" i="24"/>
  <c r="Q52" i="24"/>
  <c r="Q58" i="24"/>
  <c r="S20" i="24"/>
  <c r="Q16" i="24"/>
  <c r="Q39" i="24"/>
  <c r="Q18" i="24"/>
  <c r="S12" i="24"/>
  <c r="S56" i="24"/>
  <c r="Q56" i="24"/>
  <c r="S36" i="24"/>
  <c r="L34" i="24"/>
  <c r="Q34" i="24" s="1"/>
  <c r="E20" i="8"/>
  <c r="BO13" i="10"/>
  <c r="K13" i="44" s="1"/>
  <c r="BM15" i="10"/>
  <c r="L53" i="24"/>
  <c r="AF53" i="24" s="1"/>
  <c r="L33" i="24"/>
  <c r="AF33" i="24" s="1"/>
  <c r="E19" i="8"/>
  <c r="G21" i="8"/>
  <c r="BN15" i="10"/>
  <c r="J15" i="44" s="1"/>
  <c r="BM13" i="10"/>
  <c r="BO15" i="10"/>
  <c r="K15" i="44" s="1"/>
  <c r="BN16" i="10"/>
  <c r="J16" i="44" s="1"/>
  <c r="BM16" i="10"/>
  <c r="BM12" i="10"/>
  <c r="L32" i="24"/>
  <c r="V32" i="24" s="1"/>
  <c r="E18" i="8"/>
  <c r="F22" i="8"/>
  <c r="BM14" i="10"/>
  <c r="Q32" i="24"/>
  <c r="J74" i="31"/>
  <c r="S58" i="24"/>
  <c r="J74" i="32"/>
  <c r="S18" i="24"/>
  <c r="J74" i="30"/>
  <c r="Q59" i="24"/>
  <c r="E16" i="24"/>
  <c r="E56" i="24"/>
  <c r="E36" i="24"/>
  <c r="F36" i="24"/>
  <c r="F16" i="24"/>
  <c r="F56" i="24"/>
  <c r="F14" i="24"/>
  <c r="F34" i="24"/>
  <c r="F54" i="24"/>
  <c r="E38" i="24"/>
  <c r="E18" i="24"/>
  <c r="E58" i="24"/>
  <c r="F38" i="24"/>
  <c r="F58" i="24"/>
  <c r="F18" i="24"/>
  <c r="E39" i="24"/>
  <c r="E19" i="24"/>
  <c r="E59" i="24"/>
  <c r="E14" i="24"/>
  <c r="E34" i="24"/>
  <c r="E54" i="24"/>
  <c r="E32" i="24"/>
  <c r="E52" i="24"/>
  <c r="E12" i="24"/>
  <c r="F19" i="24"/>
  <c r="F39" i="24"/>
  <c r="F59" i="24"/>
  <c r="E40" i="24"/>
  <c r="E60" i="24"/>
  <c r="E20" i="24"/>
  <c r="F12" i="24"/>
  <c r="F52" i="24"/>
  <c r="F32" i="24"/>
  <c r="F40" i="24"/>
  <c r="F60" i="24"/>
  <c r="F20" i="24"/>
  <c r="J74" i="34"/>
  <c r="A1" i="37" a="1"/>
  <c r="A1" i="37" s="1"/>
  <c r="A1" i="33" a="1"/>
  <c r="A1" i="33" s="1"/>
  <c r="A1" i="36" a="1"/>
  <c r="A1" i="36" s="1"/>
  <c r="A1" i="32" a="1"/>
  <c r="A1" i="32" s="1"/>
  <c r="A1" i="31" a="1"/>
  <c r="A1" i="31" s="1"/>
  <c r="G19" i="8" a="1"/>
  <c r="BN18" i="10" a="1"/>
  <c r="G26" i="8" a="1"/>
  <c r="BM20" i="10" a="1"/>
  <c r="G24" i="8" a="1"/>
  <c r="G18" i="8" a="1"/>
  <c r="BP15" i="10" a="1"/>
  <c r="BN12" i="10" a="1"/>
  <c r="BO14" i="10" a="1"/>
  <c r="BO20" i="10" a="1"/>
  <c r="G23" i="8" a="1"/>
  <c r="BN14" i="10" a="1"/>
  <c r="BN13" i="10" a="1"/>
  <c r="G25" i="8" a="1"/>
  <c r="BM19" i="10" a="1"/>
  <c r="G20" i="8" a="1"/>
  <c r="BN17" i="10" a="1"/>
  <c r="BO16" i="10" a="1"/>
  <c r="BO12" i="10" a="1"/>
  <c r="G22" i="8" a="1"/>
  <c r="O37" i="24" l="1" a="1"/>
  <c r="O37" i="24" s="1"/>
  <c r="P37" i="24" s="1"/>
  <c r="T35" i="24"/>
  <c r="AL35" i="24"/>
  <c r="T17" i="24"/>
  <c r="T15" i="24"/>
  <c r="T57" i="24"/>
  <c r="AI57" i="24"/>
  <c r="T55" i="24"/>
  <c r="T53" i="24"/>
  <c r="I15" i="24"/>
  <c r="O15" i="24" s="1" a="1"/>
  <c r="O15" i="24" s="1"/>
  <c r="T33" i="24"/>
  <c r="I55" i="24"/>
  <c r="O55" i="24" s="1" a="1"/>
  <c r="O55" i="24" s="1"/>
  <c r="AP35" i="24"/>
  <c r="T37" i="24"/>
  <c r="T13" i="24"/>
  <c r="AL57" i="24"/>
  <c r="AI17" i="24"/>
  <c r="AP53" i="24"/>
  <c r="O53" i="24" a="1"/>
  <c r="O53" i="24" s="1"/>
  <c r="P53" i="24" s="1"/>
  <c r="AJ53" i="24" s="1"/>
  <c r="AL37" i="24"/>
  <c r="AF52" i="24"/>
  <c r="AF34" i="24"/>
  <c r="AI37" i="24"/>
  <c r="AG14" i="24"/>
  <c r="I33" i="24"/>
  <c r="O33" i="24" s="1" a="1"/>
  <c r="O33" i="24" s="1"/>
  <c r="P33" i="24" s="1"/>
  <c r="AJ33" i="24" s="1"/>
  <c r="I13" i="24"/>
  <c r="O13" i="24" s="1" a="1"/>
  <c r="O13" i="24" s="1"/>
  <c r="AG32" i="24"/>
  <c r="AF32" i="24"/>
  <c r="AG12" i="24"/>
  <c r="AF54" i="24"/>
  <c r="AL19" i="24"/>
  <c r="AL32" i="24"/>
  <c r="AL58" i="24"/>
  <c r="AL38" i="24"/>
  <c r="AL59" i="24"/>
  <c r="AL16" i="24"/>
  <c r="AL54" i="24"/>
  <c r="AL36" i="24"/>
  <c r="AL14" i="24"/>
  <c r="AL12" i="24"/>
  <c r="AL20" i="24"/>
  <c r="AL18" i="24"/>
  <c r="AL34" i="24"/>
  <c r="AL56" i="24"/>
  <c r="AL39" i="24"/>
  <c r="AL40" i="24"/>
  <c r="AL60" i="24"/>
  <c r="AL52" i="24"/>
  <c r="AI19" i="24"/>
  <c r="AI59" i="24"/>
  <c r="T38" i="24"/>
  <c r="AI60" i="24"/>
  <c r="AI36" i="24"/>
  <c r="AI38" i="24"/>
  <c r="AI39" i="24"/>
  <c r="AI40" i="24"/>
  <c r="AI18" i="24"/>
  <c r="AI56" i="24"/>
  <c r="AI58" i="24"/>
  <c r="T32" i="24"/>
  <c r="AI16" i="24"/>
  <c r="AI20" i="24"/>
  <c r="T40" i="24"/>
  <c r="T56" i="24"/>
  <c r="T16" i="24"/>
  <c r="T58" i="24"/>
  <c r="T60" i="24"/>
  <c r="T18" i="24"/>
  <c r="T36" i="24"/>
  <c r="T52" i="24"/>
  <c r="T12" i="24"/>
  <c r="T20" i="24"/>
  <c r="O57" i="24" a="1"/>
  <c r="O57" i="24" s="1"/>
  <c r="O17" i="24" a="1"/>
  <c r="O17" i="24" s="1"/>
  <c r="O35" i="24" a="1"/>
  <c r="O35" i="24" s="1"/>
  <c r="V56" i="24"/>
  <c r="AP16" i="24"/>
  <c r="I16" i="24"/>
  <c r="AP59" i="24"/>
  <c r="I59" i="24"/>
  <c r="AP19" i="24"/>
  <c r="I19" i="24"/>
  <c r="AP56" i="24"/>
  <c r="I56" i="24"/>
  <c r="AP18" i="24"/>
  <c r="I18" i="24"/>
  <c r="AP20" i="24"/>
  <c r="I20" i="24"/>
  <c r="AP58" i="24"/>
  <c r="I58" i="24"/>
  <c r="AP60" i="24"/>
  <c r="I60" i="24"/>
  <c r="AP38" i="24"/>
  <c r="I38" i="24"/>
  <c r="AP39" i="24"/>
  <c r="I39" i="24"/>
  <c r="AP36" i="24"/>
  <c r="I36" i="24"/>
  <c r="AP40" i="24"/>
  <c r="I40" i="24"/>
  <c r="AP32" i="24"/>
  <c r="I32" i="24"/>
  <c r="AP52" i="24"/>
  <c r="I52" i="24"/>
  <c r="AP12" i="24"/>
  <c r="I12" i="24"/>
  <c r="AP54" i="24"/>
  <c r="I54" i="24"/>
  <c r="AP34" i="24"/>
  <c r="I34" i="24"/>
  <c r="AP14" i="24"/>
  <c r="I14" i="24"/>
  <c r="AA53" i="24"/>
  <c r="AB15" i="24"/>
  <c r="AB16" i="24"/>
  <c r="AB57" i="24"/>
  <c r="AA33" i="24"/>
  <c r="AB14" i="24"/>
  <c r="AB17" i="24"/>
  <c r="AA37" i="24"/>
  <c r="AB12" i="24"/>
  <c r="AA54" i="24"/>
  <c r="AB32" i="24"/>
  <c r="AB36" i="24"/>
  <c r="AB20" i="24"/>
  <c r="AB40" i="24"/>
  <c r="AB18" i="24"/>
  <c r="AA34" i="24"/>
  <c r="V52" i="24"/>
  <c r="AA19" i="24"/>
  <c r="AA32" i="24"/>
  <c r="AA38" i="24"/>
  <c r="AA60" i="24"/>
  <c r="AA20" i="24"/>
  <c r="V37" i="24"/>
  <c r="AW15" i="10" a="1"/>
  <c r="AW15" i="10" s="1"/>
  <c r="W40" i="24"/>
  <c r="W16" i="24"/>
  <c r="W12" i="24"/>
  <c r="AM15" i="24" a="1"/>
  <c r="AM15" i="24" s="1"/>
  <c r="W15" i="24"/>
  <c r="W32" i="24"/>
  <c r="AM17" i="24" a="1"/>
  <c r="AM17" i="24" s="1"/>
  <c r="W17" i="24"/>
  <c r="W20" i="24"/>
  <c r="W36" i="24"/>
  <c r="AM57" i="24" a="1"/>
  <c r="AM57" i="24" s="1"/>
  <c r="W57" i="24"/>
  <c r="W18" i="24"/>
  <c r="V34" i="24"/>
  <c r="V33" i="24"/>
  <c r="V53" i="24"/>
  <c r="I12" i="44"/>
  <c r="I17" i="44"/>
  <c r="I18" i="44"/>
  <c r="I15" i="44"/>
  <c r="I16" i="44"/>
  <c r="I14" i="44"/>
  <c r="I13" i="44"/>
  <c r="BO12" i="10"/>
  <c r="K12" i="44" s="1"/>
  <c r="BO14" i="10"/>
  <c r="K14" i="44" s="1"/>
  <c r="BM19" i="10"/>
  <c r="AW19" i="10" s="1" a="1"/>
  <c r="AW19" i="10" s="1"/>
  <c r="BM20" i="10"/>
  <c r="G26" i="8"/>
  <c r="G24" i="8"/>
  <c r="BO20" i="10"/>
  <c r="K20" i="44" s="1"/>
  <c r="G25" i="8"/>
  <c r="BN17" i="10"/>
  <c r="AW17" i="10" s="1" a="1"/>
  <c r="AW17" i="10" s="1"/>
  <c r="G23" i="8"/>
  <c r="BN18" i="10"/>
  <c r="AW18" i="10" s="1" a="1"/>
  <c r="AW18" i="10" s="1"/>
  <c r="G22" i="8"/>
  <c r="BP15" i="10"/>
  <c r="BN13" i="10"/>
  <c r="AW13" i="10" s="1" a="1"/>
  <c r="AW13" i="10" s="1"/>
  <c r="G20" i="8"/>
  <c r="G18" i="8"/>
  <c r="G19" i="8"/>
  <c r="BO16" i="10"/>
  <c r="AW16" i="10" s="1" a="1"/>
  <c r="AW16" i="10" s="1"/>
  <c r="BN12" i="10"/>
  <c r="J12" i="44" s="1"/>
  <c r="BN14" i="10"/>
  <c r="J14" i="44" s="1"/>
  <c r="BP18" i="10" a="1"/>
  <c r="BP19" i="10" a="1"/>
  <c r="BP17" i="10" a="1"/>
  <c r="BP16" i="10" a="1"/>
  <c r="BP20" i="10" a="1"/>
  <c r="BP12" i="10" a="1"/>
  <c r="BP13" i="10" a="1"/>
  <c r="BP14" i="10" a="1"/>
  <c r="Z33" i="24" l="1"/>
  <c r="AE33" i="24"/>
  <c r="Z37" i="24"/>
  <c r="AE37" i="24"/>
  <c r="Z53" i="24"/>
  <c r="AE53" i="24"/>
  <c r="P15" i="24"/>
  <c r="AJ15" i="24" s="1"/>
  <c r="P35" i="24"/>
  <c r="AJ35" i="24" s="1"/>
  <c r="P13" i="24"/>
  <c r="AJ13" i="24" s="1"/>
  <c r="P55" i="24"/>
  <c r="AJ55" i="24" s="1"/>
  <c r="P17" i="24"/>
  <c r="P57" i="24"/>
  <c r="O32" i="24" a="1"/>
  <c r="O32" i="24" s="1"/>
  <c r="O59" i="24" a="1"/>
  <c r="O59" i="24" s="1"/>
  <c r="O40" i="24" a="1"/>
  <c r="O40" i="24" s="1"/>
  <c r="O36" i="24" a="1"/>
  <c r="O36" i="24" s="1"/>
  <c r="O39" i="24" a="1"/>
  <c r="O39" i="24" s="1"/>
  <c r="O19" i="24" a="1"/>
  <c r="O19" i="24" s="1"/>
  <c r="O14" i="24" a="1"/>
  <c r="O14" i="24" s="1"/>
  <c r="O34" i="24" a="1"/>
  <c r="O34" i="24" s="1"/>
  <c r="O20" i="24" a="1"/>
  <c r="O20" i="24" s="1"/>
  <c r="O52" i="24" a="1"/>
  <c r="O52" i="24" s="1"/>
  <c r="O16" i="24" a="1"/>
  <c r="O16" i="24" s="1"/>
  <c r="O54" i="24" a="1"/>
  <c r="O54" i="24" s="1"/>
  <c r="O18" i="24" a="1"/>
  <c r="O18" i="24" s="1"/>
  <c r="O60" i="24" a="1"/>
  <c r="O60" i="24" s="1"/>
  <c r="O58" i="24" a="1"/>
  <c r="O58" i="24" s="1"/>
  <c r="O12" i="24" a="1"/>
  <c r="O12" i="24" s="1"/>
  <c r="O56" i="24" a="1"/>
  <c r="O56" i="24" s="1"/>
  <c r="O38" i="24" a="1"/>
  <c r="O38" i="24" s="1"/>
  <c r="AW20" i="10" a="1"/>
  <c r="AW20" i="10" s="1"/>
  <c r="AW14" i="10" a="1"/>
  <c r="AW14" i="10" s="1"/>
  <c r="AW12" i="10" a="1"/>
  <c r="AW12" i="10" s="1"/>
  <c r="K16" i="44"/>
  <c r="J13" i="44"/>
  <c r="J18" i="44"/>
  <c r="J17" i="44"/>
  <c r="I20" i="44"/>
  <c r="I19" i="44"/>
  <c r="BP17" i="10"/>
  <c r="BP18" i="10"/>
  <c r="BP19" i="10"/>
  <c r="BP20" i="10"/>
  <c r="BP13" i="10"/>
  <c r="BP12" i="10"/>
  <c r="BP14" i="10"/>
  <c r="BP16" i="10"/>
  <c r="S14" i="24"/>
  <c r="T14" i="24" s="1"/>
  <c r="S54" i="24"/>
  <c r="T54" i="24" s="1"/>
  <c r="S34" i="24"/>
  <c r="T34" i="24" s="1"/>
  <c r="AM34" i="24" a="1"/>
  <c r="AM14" i="24" a="1"/>
  <c r="AM54" i="24" a="1"/>
  <c r="Z17" i="24" l="1"/>
  <c r="AE17" i="24"/>
  <c r="Z35" i="24"/>
  <c r="AE35" i="24"/>
  <c r="Z15" i="24"/>
  <c r="AE15" i="24"/>
  <c r="Z57" i="24"/>
  <c r="AE57" i="24"/>
  <c r="Z55" i="24"/>
  <c r="AE55" i="24"/>
  <c r="Z13" i="24"/>
  <c r="AE13" i="24"/>
  <c r="P34" i="24"/>
  <c r="AJ34" i="24" s="1"/>
  <c r="P14" i="24"/>
  <c r="AJ14" i="24" s="1"/>
  <c r="P52" i="24"/>
  <c r="AJ52" i="24" s="1"/>
  <c r="P19" i="24"/>
  <c r="P20" i="24"/>
  <c r="P40" i="24"/>
  <c r="P59" i="24"/>
  <c r="P39" i="24"/>
  <c r="P32" i="24"/>
  <c r="AJ32" i="24" s="1"/>
  <c r="P38" i="24"/>
  <c r="P56" i="24"/>
  <c r="P12" i="24"/>
  <c r="AJ12" i="24" s="1"/>
  <c r="P58" i="24"/>
  <c r="P60" i="24"/>
  <c r="P18" i="24"/>
  <c r="P36" i="24"/>
  <c r="P54" i="24"/>
  <c r="AJ54" i="24" s="1"/>
  <c r="P16" i="24"/>
  <c r="AM54" i="24"/>
  <c r="AM14" i="24"/>
  <c r="AM34" i="24"/>
  <c r="Z20" i="24" l="1"/>
  <c r="AE20" i="24"/>
  <c r="Z40" i="24"/>
  <c r="AE40" i="24"/>
  <c r="Z16" i="24"/>
  <c r="AE16" i="24"/>
  <c r="Z38" i="24"/>
  <c r="AE38" i="24"/>
  <c r="Z39" i="24"/>
  <c r="AE39" i="24"/>
  <c r="Z52" i="24"/>
  <c r="AE52" i="24"/>
  <c r="Z14" i="24"/>
  <c r="AE14" i="24"/>
  <c r="Z34" i="24"/>
  <c r="AE34" i="24"/>
  <c r="Z54" i="24"/>
  <c r="AE54" i="24"/>
  <c r="Z32" i="24"/>
  <c r="AE32" i="24"/>
  <c r="Z59" i="24"/>
  <c r="AE59" i="24"/>
  <c r="Z19" i="24"/>
  <c r="AE19" i="24"/>
  <c r="Z36" i="24"/>
  <c r="AE36" i="24"/>
  <c r="Z18" i="24"/>
  <c r="AE18" i="24"/>
  <c r="Z60" i="24"/>
  <c r="AE60" i="24"/>
  <c r="Z58" i="24"/>
  <c r="AE58" i="24"/>
  <c r="Z12" i="24"/>
  <c r="AE12" i="24"/>
  <c r="Z56" i="24"/>
  <c r="AE56" i="24"/>
  <c r="B29" i="28"/>
  <c r="A29" i="28" s="1"/>
  <c r="B28" i="28"/>
  <c r="A28" i="28" s="1"/>
  <c r="AA2" i="10" l="1"/>
  <c r="H5" i="1" s="1"/>
  <c r="AA3" i="10"/>
  <c r="AA4" i="10"/>
  <c r="AA5" i="10"/>
  <c r="AA6" i="10"/>
  <c r="AA7" i="10"/>
  <c r="AA8" i="10"/>
  <c r="AA9" i="10"/>
  <c r="AA10" i="10"/>
  <c r="AA21" i="10"/>
  <c r="AA22" i="10" l="1"/>
  <c r="X24" i="10" l="1" a="1"/>
  <c r="X24" i="10" s="1"/>
  <c r="Y24" i="10" a="1"/>
  <c r="Y24" i="10" s="1"/>
  <c r="B17" i="28"/>
  <c r="A17" i="28" s="1"/>
  <c r="B16" i="28"/>
  <c r="A16" i="28" s="1"/>
  <c r="B20" i="28"/>
  <c r="A20" i="28" s="1"/>
  <c r="B21" i="28"/>
  <c r="A21" i="28" s="1"/>
  <c r="A1" i="1" l="1" a="1"/>
  <c r="A1" i="1" s="1"/>
  <c r="CB8" i="10" a="1"/>
  <c r="CA9" i="10" a="1"/>
  <c r="BZ3" i="10" a="1"/>
  <c r="BZ10" i="10" a="1"/>
  <c r="CB5" i="10" a="1"/>
  <c r="BZ4" i="10" a="1"/>
  <c r="BZ21" i="10" a="1"/>
  <c r="CB10" i="10" a="1"/>
  <c r="BZ7" i="10" a="1"/>
  <c r="BZ9" i="10" a="1"/>
  <c r="BZ6" i="10" a="1"/>
  <c r="CB9" i="10" a="1"/>
  <c r="CB7" i="10" a="1"/>
  <c r="CA4" i="10" a="1"/>
  <c r="CB2" i="10" a="1"/>
  <c r="CA7" i="10" a="1"/>
  <c r="CA6" i="10" a="1"/>
  <c r="CA21" i="10" a="1"/>
  <c r="CB4" i="10" a="1"/>
  <c r="CA3" i="10" a="1"/>
  <c r="CB6" i="10" a="1"/>
  <c r="CB21" i="10" a="1"/>
  <c r="BZ5" i="10" a="1"/>
  <c r="CA8" i="10" a="1"/>
  <c r="CA5" i="10" a="1"/>
  <c r="CB3" i="10" a="1"/>
  <c r="CA2" i="10" a="1"/>
  <c r="BZ8" i="10" a="1"/>
  <c r="CA10" i="10" a="1"/>
  <c r="CB10" i="10" l="1"/>
  <c r="CB6" i="10"/>
  <c r="CB9" i="10"/>
  <c r="CB5" i="10"/>
  <c r="CB8" i="10"/>
  <c r="CB4" i="10"/>
  <c r="CB21" i="10"/>
  <c r="CB7" i="10"/>
  <c r="CB3" i="10"/>
  <c r="CB2" i="10"/>
  <c r="CA5" i="10"/>
  <c r="CA8" i="10"/>
  <c r="CA4" i="10"/>
  <c r="CA9" i="10"/>
  <c r="CA3" i="10"/>
  <c r="CA21" i="10"/>
  <c r="CA7" i="10"/>
  <c r="CA10" i="10"/>
  <c r="CA6" i="10"/>
  <c r="CA2" i="10"/>
  <c r="BZ10" i="10"/>
  <c r="BZ6" i="10"/>
  <c r="BZ9" i="10"/>
  <c r="BZ5" i="10"/>
  <c r="BZ8" i="10"/>
  <c r="BZ4" i="10"/>
  <c r="BZ3" i="10"/>
  <c r="BZ21" i="10"/>
  <c r="BZ7" i="10"/>
  <c r="B36" i="28"/>
  <c r="A36" i="28" s="1"/>
  <c r="B35" i="28"/>
  <c r="A35" i="28" s="1"/>
  <c r="B25" i="28"/>
  <c r="A25" i="28" s="1"/>
  <c r="B24" i="28"/>
  <c r="A24" i="28" s="1"/>
  <c r="B9" i="28"/>
  <c r="A9" i="28" s="1"/>
  <c r="B8" i="28"/>
  <c r="A8" i="28" s="1"/>
  <c r="B5" i="28"/>
  <c r="A5" i="28" s="1"/>
  <c r="B4" i="28"/>
  <c r="A4" i="28" s="1"/>
  <c r="AR51" i="24" a="1"/>
  <c r="AR51" i="24" s="1"/>
  <c r="AQ51" i="24" a="1"/>
  <c r="AQ51" i="24" s="1"/>
  <c r="AO51" i="24" a="1"/>
  <c r="AO51" i="24" s="1"/>
  <c r="AN51" i="24" a="1"/>
  <c r="AN51" i="24" s="1"/>
  <c r="D51" i="24"/>
  <c r="C51" i="24"/>
  <c r="AR50" i="24" a="1"/>
  <c r="AR50" i="24" s="1"/>
  <c r="AQ50" i="24" a="1"/>
  <c r="AQ50" i="24" s="1"/>
  <c r="AO50" i="24" a="1"/>
  <c r="AO50" i="24" s="1"/>
  <c r="AN50" i="24" a="1"/>
  <c r="AN50" i="24" s="1"/>
  <c r="D50" i="24"/>
  <c r="C50" i="24"/>
  <c r="AR49" i="24" a="1"/>
  <c r="AR49" i="24" s="1"/>
  <c r="AQ49" i="24" a="1"/>
  <c r="AQ49" i="24" s="1"/>
  <c r="AO49" i="24" a="1"/>
  <c r="AO49" i="24" s="1"/>
  <c r="AN49" i="24" a="1"/>
  <c r="AN49" i="24" s="1"/>
  <c r="D49" i="24"/>
  <c r="C49" i="24"/>
  <c r="AR48" i="24" a="1"/>
  <c r="AR48" i="24" s="1"/>
  <c r="AQ48" i="24" a="1"/>
  <c r="AQ48" i="24" s="1"/>
  <c r="AO48" i="24" a="1"/>
  <c r="AO48" i="24" s="1"/>
  <c r="AN48" i="24" a="1"/>
  <c r="AN48" i="24" s="1"/>
  <c r="D48" i="24"/>
  <c r="C48" i="24"/>
  <c r="AR47" i="24" a="1"/>
  <c r="AR47" i="24" s="1"/>
  <c r="AQ47" i="24" a="1"/>
  <c r="AQ47" i="24" s="1"/>
  <c r="AO47" i="24" a="1"/>
  <c r="AO47" i="24" s="1"/>
  <c r="AN47" i="24" a="1"/>
  <c r="AN47" i="24" s="1"/>
  <c r="D47" i="24"/>
  <c r="C47" i="24"/>
  <c r="AR46" i="24" a="1"/>
  <c r="AR46" i="24" s="1"/>
  <c r="AQ46" i="24" a="1"/>
  <c r="AQ46" i="24" s="1"/>
  <c r="AO46" i="24" a="1"/>
  <c r="AO46" i="24" s="1"/>
  <c r="AN46" i="24" a="1"/>
  <c r="AN46" i="24" s="1"/>
  <c r="D46" i="24"/>
  <c r="C46" i="24"/>
  <c r="AR45" i="24" a="1"/>
  <c r="AR45" i="24" s="1"/>
  <c r="AQ45" i="24" a="1"/>
  <c r="AQ45" i="24" s="1"/>
  <c r="AO45" i="24" a="1"/>
  <c r="AO45" i="24" s="1"/>
  <c r="AN45" i="24" a="1"/>
  <c r="AN45" i="24" s="1"/>
  <c r="D45" i="24"/>
  <c r="C45" i="24"/>
  <c r="AR44" i="24" a="1"/>
  <c r="AR44" i="24" s="1"/>
  <c r="AQ44" i="24" a="1"/>
  <c r="AQ44" i="24" s="1"/>
  <c r="AO44" i="24" a="1"/>
  <c r="AO44" i="24" s="1"/>
  <c r="AN44" i="24" a="1"/>
  <c r="AN44" i="24" s="1"/>
  <c r="D44" i="24"/>
  <c r="C44" i="24"/>
  <c r="AR43" i="24" a="1"/>
  <c r="AR43" i="24" s="1"/>
  <c r="AQ43" i="24" a="1"/>
  <c r="AQ43" i="24" s="1"/>
  <c r="AO43" i="24" a="1"/>
  <c r="AO43" i="24" s="1"/>
  <c r="AN43" i="24" a="1"/>
  <c r="AN43" i="24" s="1"/>
  <c r="D43" i="24"/>
  <c r="C43" i="24"/>
  <c r="AR42" i="24" a="1"/>
  <c r="AR42" i="24" s="1"/>
  <c r="AQ42" i="24" a="1"/>
  <c r="AQ42" i="24" s="1"/>
  <c r="AO42" i="24" a="1"/>
  <c r="AO42" i="24" s="1"/>
  <c r="AN42" i="24" a="1"/>
  <c r="AN42" i="24" s="1"/>
  <c r="D42" i="24"/>
  <c r="C42" i="24"/>
  <c r="AR31" i="24" a="1"/>
  <c r="AR31" i="24" s="1"/>
  <c r="AQ31" i="24" a="1"/>
  <c r="AQ31" i="24" s="1"/>
  <c r="AO31" i="24" a="1"/>
  <c r="AO31" i="24" s="1"/>
  <c r="AN31" i="24" a="1"/>
  <c r="AN31" i="24" s="1"/>
  <c r="D31" i="24"/>
  <c r="C31" i="24"/>
  <c r="AR30" i="24" a="1"/>
  <c r="AR30" i="24" s="1"/>
  <c r="AQ30" i="24" a="1"/>
  <c r="AQ30" i="24" s="1"/>
  <c r="AO30" i="24" a="1"/>
  <c r="AO30" i="24" s="1"/>
  <c r="AN30" i="24" a="1"/>
  <c r="AN30" i="24" s="1"/>
  <c r="D30" i="24"/>
  <c r="C30" i="24"/>
  <c r="AR29" i="24" a="1"/>
  <c r="AR29" i="24" s="1"/>
  <c r="AQ29" i="24" a="1"/>
  <c r="AQ29" i="24" s="1"/>
  <c r="AO29" i="24" a="1"/>
  <c r="AO29" i="24" s="1"/>
  <c r="AN29" i="24" a="1"/>
  <c r="AN29" i="24" s="1"/>
  <c r="D29" i="24"/>
  <c r="C29" i="24"/>
  <c r="AR28" i="24" a="1"/>
  <c r="AR28" i="24" s="1"/>
  <c r="AQ28" i="24" a="1"/>
  <c r="AQ28" i="24" s="1"/>
  <c r="AO28" i="24" a="1"/>
  <c r="AO28" i="24" s="1"/>
  <c r="AN28" i="24" a="1"/>
  <c r="AN28" i="24" s="1"/>
  <c r="D28" i="24"/>
  <c r="C28" i="24"/>
  <c r="AR27" i="24" a="1"/>
  <c r="AR27" i="24" s="1"/>
  <c r="AQ27" i="24" a="1"/>
  <c r="AQ27" i="24" s="1"/>
  <c r="AO27" i="24" a="1"/>
  <c r="AO27" i="24" s="1"/>
  <c r="AN27" i="24" a="1"/>
  <c r="AN27" i="24" s="1"/>
  <c r="D27" i="24"/>
  <c r="C27" i="24"/>
  <c r="AR26" i="24" a="1"/>
  <c r="AR26" i="24" s="1"/>
  <c r="AQ26" i="24" a="1"/>
  <c r="AQ26" i="24" s="1"/>
  <c r="AO26" i="24" a="1"/>
  <c r="AO26" i="24" s="1"/>
  <c r="AN26" i="24" a="1"/>
  <c r="AN26" i="24" s="1"/>
  <c r="D26" i="24"/>
  <c r="C26" i="24"/>
  <c r="AR25" i="24" a="1"/>
  <c r="AR25" i="24" s="1"/>
  <c r="AQ25" i="24" a="1"/>
  <c r="AQ25" i="24" s="1"/>
  <c r="AO25" i="24" a="1"/>
  <c r="AO25" i="24" s="1"/>
  <c r="AN25" i="24" a="1"/>
  <c r="AN25" i="24" s="1"/>
  <c r="D25" i="24"/>
  <c r="C25" i="24"/>
  <c r="AR24" i="24" a="1"/>
  <c r="AR24" i="24" s="1"/>
  <c r="AQ24" i="24" a="1"/>
  <c r="AQ24" i="24" s="1"/>
  <c r="AO24" i="24" a="1"/>
  <c r="AO24" i="24" s="1"/>
  <c r="AN24" i="24" a="1"/>
  <c r="AN24" i="24" s="1"/>
  <c r="D24" i="24"/>
  <c r="C24" i="24"/>
  <c r="AR23" i="24" a="1"/>
  <c r="AR23" i="24" s="1"/>
  <c r="AQ23" i="24" a="1"/>
  <c r="AQ23" i="24" s="1"/>
  <c r="AO23" i="24" a="1"/>
  <c r="AO23" i="24" s="1"/>
  <c r="AN23" i="24" a="1"/>
  <c r="AN23" i="24" s="1"/>
  <c r="D23" i="24"/>
  <c r="C23" i="24"/>
  <c r="AR22" i="24" a="1"/>
  <c r="AR22" i="24" s="1"/>
  <c r="AQ22" i="24" a="1"/>
  <c r="AQ22" i="24" s="1"/>
  <c r="AO22" i="24" a="1"/>
  <c r="AO22" i="24" s="1"/>
  <c r="AN22" i="24" a="1"/>
  <c r="AN22" i="24" s="1"/>
  <c r="D22" i="24"/>
  <c r="C22" i="24"/>
  <c r="D11" i="24"/>
  <c r="C11" i="24"/>
  <c r="D10" i="24"/>
  <c r="C10" i="24"/>
  <c r="D9" i="24"/>
  <c r="C9" i="24"/>
  <c r="D8" i="24"/>
  <c r="C8" i="24"/>
  <c r="D7" i="24"/>
  <c r="C7" i="24"/>
  <c r="D6" i="24"/>
  <c r="C6" i="24"/>
  <c r="D5" i="24"/>
  <c r="C5" i="24"/>
  <c r="D4" i="24"/>
  <c r="C4" i="24"/>
  <c r="D3" i="24"/>
  <c r="C3" i="24"/>
  <c r="D2" i="24"/>
  <c r="C2" i="24"/>
  <c r="V21" i="10" a="1"/>
  <c r="V21" i="10" s="1"/>
  <c r="U21" i="10" a="1"/>
  <c r="U21" i="10" s="1"/>
  <c r="H21" i="10" s="1" a="1"/>
  <c r="H21" i="10" s="1"/>
  <c r="T21" i="10" a="1"/>
  <c r="T21" i="10" s="1"/>
  <c r="G21" i="10" s="1" a="1"/>
  <c r="G21" i="10" s="1"/>
  <c r="S21" i="10" a="1"/>
  <c r="S21" i="10" s="1"/>
  <c r="K21" i="10" s="1" a="1"/>
  <c r="K21" i="10" s="1"/>
  <c r="R21" i="10"/>
  <c r="Q21" i="10"/>
  <c r="Y21" i="10" s="1"/>
  <c r="P21" i="10"/>
  <c r="D21" i="10"/>
  <c r="V10" i="10" a="1"/>
  <c r="V10" i="10" s="1"/>
  <c r="U10" i="10" a="1"/>
  <c r="U10" i="10" s="1"/>
  <c r="H10" i="10" s="1" a="1"/>
  <c r="H10" i="10" s="1"/>
  <c r="T10" i="10" a="1"/>
  <c r="T10" i="10" s="1"/>
  <c r="S10" i="10" a="1"/>
  <c r="S10" i="10" s="1"/>
  <c r="K10" i="10" s="1" a="1"/>
  <c r="K10" i="10" s="1"/>
  <c r="R10" i="10"/>
  <c r="Q10" i="10"/>
  <c r="Y10" i="10" s="1"/>
  <c r="P10" i="10"/>
  <c r="D10" i="10"/>
  <c r="V9" i="10" a="1"/>
  <c r="V9" i="10" s="1"/>
  <c r="U9" i="10" a="1"/>
  <c r="U9" i="10" s="1"/>
  <c r="H9" i="10" s="1" a="1"/>
  <c r="H9" i="10" s="1"/>
  <c r="T9" i="10" a="1"/>
  <c r="T9" i="10" s="1"/>
  <c r="S9" i="10" a="1"/>
  <c r="S9" i="10" s="1"/>
  <c r="K9" i="10" s="1" a="1"/>
  <c r="K9" i="10" s="1"/>
  <c r="R9" i="10"/>
  <c r="Q9" i="10"/>
  <c r="Y9" i="10" s="1"/>
  <c r="P9" i="10"/>
  <c r="D9" i="10"/>
  <c r="V8" i="10" a="1"/>
  <c r="V8" i="10" s="1"/>
  <c r="U8" i="10" a="1"/>
  <c r="U8" i="10" s="1"/>
  <c r="H8" i="10" s="1" a="1"/>
  <c r="H8" i="10" s="1"/>
  <c r="T8" i="10" a="1"/>
  <c r="T8" i="10" s="1"/>
  <c r="S8" i="10" a="1"/>
  <c r="S8" i="10" s="1"/>
  <c r="K8" i="10" s="1" a="1"/>
  <c r="K8" i="10" s="1"/>
  <c r="R8" i="10"/>
  <c r="Q8" i="10"/>
  <c r="Y8" i="10" s="1"/>
  <c r="P8" i="10"/>
  <c r="D8" i="10"/>
  <c r="V7" i="10" a="1"/>
  <c r="V7" i="10" s="1"/>
  <c r="U7" i="10" a="1"/>
  <c r="U7" i="10" s="1"/>
  <c r="H7" i="10" s="1" a="1"/>
  <c r="H7" i="10" s="1"/>
  <c r="T7" i="10" a="1"/>
  <c r="T7" i="10" s="1"/>
  <c r="S7" i="10" a="1"/>
  <c r="S7" i="10" s="1"/>
  <c r="K7" i="10" s="1" a="1"/>
  <c r="K7" i="10" s="1"/>
  <c r="R7" i="10"/>
  <c r="Q7" i="10"/>
  <c r="Y7" i="10" s="1"/>
  <c r="P7" i="10"/>
  <c r="D7" i="10"/>
  <c r="V6" i="10" a="1"/>
  <c r="V6" i="10" s="1"/>
  <c r="U6" i="10" a="1"/>
  <c r="U6" i="10" s="1"/>
  <c r="H6" i="10" s="1" a="1"/>
  <c r="H6" i="10" s="1"/>
  <c r="T6" i="10" a="1"/>
  <c r="T6" i="10" s="1"/>
  <c r="S6" i="10" a="1"/>
  <c r="S6" i="10" s="1"/>
  <c r="K6" i="10" s="1" a="1"/>
  <c r="K6" i="10" s="1"/>
  <c r="R6" i="10"/>
  <c r="Q6" i="10"/>
  <c r="Y6" i="10" s="1"/>
  <c r="P6" i="10"/>
  <c r="D6" i="10"/>
  <c r="V5" i="10" a="1"/>
  <c r="V5" i="10" s="1"/>
  <c r="U5" i="10" a="1"/>
  <c r="U5" i="10" s="1"/>
  <c r="H5" i="10" s="1" a="1"/>
  <c r="H5" i="10" s="1"/>
  <c r="T5" i="10" a="1"/>
  <c r="T5" i="10" s="1"/>
  <c r="S5" i="10" a="1"/>
  <c r="S5" i="10" s="1"/>
  <c r="K5" i="10" s="1" a="1"/>
  <c r="K5" i="10" s="1"/>
  <c r="R5" i="10"/>
  <c r="Q5" i="10"/>
  <c r="Y5" i="10" s="1"/>
  <c r="P5" i="10"/>
  <c r="D5" i="10"/>
  <c r="V4" i="10" a="1"/>
  <c r="V4" i="10" s="1"/>
  <c r="U4" i="10" a="1"/>
  <c r="U4" i="10" s="1"/>
  <c r="H4" i="10" s="1" a="1"/>
  <c r="H4" i="10" s="1"/>
  <c r="T4" i="10" a="1"/>
  <c r="T4" i="10" s="1"/>
  <c r="S4" i="10" a="1"/>
  <c r="S4" i="10" s="1"/>
  <c r="K4" i="10" s="1" a="1"/>
  <c r="K4" i="10" s="1"/>
  <c r="R4" i="10"/>
  <c r="Q4" i="10"/>
  <c r="Y4" i="10" s="1"/>
  <c r="P4" i="10"/>
  <c r="D4" i="10"/>
  <c r="V3" i="10" a="1"/>
  <c r="V3" i="10" s="1"/>
  <c r="U3" i="10" a="1"/>
  <c r="U3" i="10" s="1"/>
  <c r="H3" i="10" s="1" a="1"/>
  <c r="H3" i="10" s="1"/>
  <c r="T3" i="10" a="1"/>
  <c r="T3" i="10" s="1"/>
  <c r="S3" i="10" a="1"/>
  <c r="S3" i="10" s="1"/>
  <c r="K3" i="10" s="1" a="1"/>
  <c r="K3" i="10" s="1"/>
  <c r="R3" i="10"/>
  <c r="Q3" i="10"/>
  <c r="Y3" i="10" s="1"/>
  <c r="P3" i="10"/>
  <c r="D3" i="10"/>
  <c r="V2" i="10" a="1"/>
  <c r="V2" i="10" s="1"/>
  <c r="U2" i="10" a="1"/>
  <c r="U2" i="10" s="1"/>
  <c r="T2" i="10" a="1"/>
  <c r="T2" i="10" s="1"/>
  <c r="S2" i="10" a="1"/>
  <c r="S2" i="10" s="1"/>
  <c r="K2" i="10" s="1" a="1"/>
  <c r="K2" i="10" s="1"/>
  <c r="R2" i="10"/>
  <c r="Q2" i="10"/>
  <c r="P2" i="10"/>
  <c r="D2" i="10"/>
  <c r="I25" i="6"/>
  <c r="B24" i="6"/>
  <c r="B23" i="6"/>
  <c r="B22" i="6"/>
  <c r="B21" i="6"/>
  <c r="B20" i="6"/>
  <c r="B19" i="6"/>
  <c r="B18" i="6"/>
  <c r="B17" i="6"/>
  <c r="B16" i="6"/>
  <c r="B15" i="6"/>
  <c r="B14" i="6"/>
  <c r="B13" i="6"/>
  <c r="B12" i="6"/>
  <c r="B11" i="6"/>
  <c r="B10" i="6"/>
  <c r="B9" i="6"/>
  <c r="B8" i="6"/>
  <c r="B7" i="6"/>
  <c r="B4" i="6"/>
  <c r="R28" i="8"/>
  <c r="Q28" i="8"/>
  <c r="O28" i="8"/>
  <c r="N28" i="8"/>
  <c r="M28" i="8"/>
  <c r="L28" i="8"/>
  <c r="S27" i="8"/>
  <c r="X27" i="8" s="1"/>
  <c r="S16" i="8"/>
  <c r="S15" i="8"/>
  <c r="S14" i="8"/>
  <c r="S13" i="8"/>
  <c r="S12" i="8"/>
  <c r="S11" i="8"/>
  <c r="S10" i="8"/>
  <c r="S9" i="8"/>
  <c r="B3" i="8"/>
  <c r="I70" i="23"/>
  <c r="G70" i="23"/>
  <c r="E70" i="23"/>
  <c r="I55" i="23"/>
  <c r="G55" i="23"/>
  <c r="E55" i="23"/>
  <c r="I39" i="23"/>
  <c r="G39" i="23"/>
  <c r="E39" i="23"/>
  <c r="I38" i="23"/>
  <c r="G38" i="23"/>
  <c r="E38" i="23"/>
  <c r="I37" i="23"/>
  <c r="G37" i="23"/>
  <c r="E37" i="23"/>
  <c r="I36" i="23"/>
  <c r="G36" i="23"/>
  <c r="E36" i="23"/>
  <c r="I35" i="23"/>
  <c r="G35" i="23"/>
  <c r="E35" i="23"/>
  <c r="I34" i="23"/>
  <c r="G34" i="23"/>
  <c r="E34" i="23"/>
  <c r="I33" i="23"/>
  <c r="G33" i="23"/>
  <c r="E33" i="23"/>
  <c r="I32" i="23"/>
  <c r="G32" i="23"/>
  <c r="E32" i="23"/>
  <c r="I31" i="23"/>
  <c r="G31" i="23"/>
  <c r="E31" i="23"/>
  <c r="I30" i="23"/>
  <c r="G30" i="23"/>
  <c r="E30" i="23"/>
  <c r="I24" i="23"/>
  <c r="G24" i="23"/>
  <c r="E24" i="23"/>
  <c r="I22" i="23"/>
  <c r="G22" i="23"/>
  <c r="E22" i="23"/>
  <c r="I21" i="23"/>
  <c r="G21" i="23"/>
  <c r="E21" i="23"/>
  <c r="I20" i="23"/>
  <c r="G20" i="23"/>
  <c r="E20" i="23"/>
  <c r="I19" i="23"/>
  <c r="G19" i="23"/>
  <c r="E19" i="23"/>
  <c r="I18" i="23"/>
  <c r="G18" i="23"/>
  <c r="E18" i="23"/>
  <c r="I17" i="23"/>
  <c r="G17" i="23"/>
  <c r="E17" i="23"/>
  <c r="I16" i="23"/>
  <c r="G16" i="23"/>
  <c r="E16" i="23"/>
  <c r="I15" i="23"/>
  <c r="G15" i="23"/>
  <c r="E15" i="23"/>
  <c r="I14" i="23"/>
  <c r="G14" i="23"/>
  <c r="E14" i="23"/>
  <c r="I13" i="23"/>
  <c r="G13" i="23"/>
  <c r="E13" i="23"/>
  <c r="A5" i="23" a="1"/>
  <c r="A5" i="23" s="1"/>
  <c r="B4" i="23"/>
  <c r="I70" i="22"/>
  <c r="G70" i="22"/>
  <c r="E70" i="22"/>
  <c r="I55" i="22"/>
  <c r="G55" i="22"/>
  <c r="E55" i="22"/>
  <c r="I39" i="22"/>
  <c r="G39" i="22"/>
  <c r="E39" i="22"/>
  <c r="I38" i="22"/>
  <c r="G38" i="22"/>
  <c r="E38" i="22"/>
  <c r="I37" i="22"/>
  <c r="G37" i="22"/>
  <c r="E37" i="22"/>
  <c r="I36" i="22"/>
  <c r="G36" i="22"/>
  <c r="E36" i="22"/>
  <c r="I35" i="22"/>
  <c r="G35" i="22"/>
  <c r="E35" i="22"/>
  <c r="I34" i="22"/>
  <c r="G34" i="22"/>
  <c r="E34" i="22"/>
  <c r="I33" i="22"/>
  <c r="G33" i="22"/>
  <c r="E33" i="22"/>
  <c r="I32" i="22"/>
  <c r="G32" i="22"/>
  <c r="E32" i="22"/>
  <c r="I31" i="22"/>
  <c r="G31" i="22"/>
  <c r="E31" i="22"/>
  <c r="I30" i="22"/>
  <c r="G30" i="22"/>
  <c r="E30" i="22"/>
  <c r="I22" i="22"/>
  <c r="G22" i="22"/>
  <c r="E22" i="22"/>
  <c r="I21" i="22"/>
  <c r="G21" i="22"/>
  <c r="E21" i="22"/>
  <c r="I20" i="22"/>
  <c r="G20" i="22"/>
  <c r="E20" i="22"/>
  <c r="I19" i="22"/>
  <c r="G19" i="22"/>
  <c r="E19" i="22"/>
  <c r="I18" i="22"/>
  <c r="G18" i="22"/>
  <c r="E18" i="22"/>
  <c r="I17" i="22"/>
  <c r="G17" i="22"/>
  <c r="E17" i="22"/>
  <c r="I16" i="22"/>
  <c r="G16" i="22"/>
  <c r="E16" i="22"/>
  <c r="I15" i="22"/>
  <c r="G15" i="22"/>
  <c r="E15" i="22"/>
  <c r="I14" i="22"/>
  <c r="G14" i="22"/>
  <c r="E14" i="22"/>
  <c r="I13" i="22"/>
  <c r="G13" i="22"/>
  <c r="E13" i="22"/>
  <c r="A5" i="22" a="1"/>
  <c r="A5" i="22" s="1"/>
  <c r="B4" i="22"/>
  <c r="I70" i="21"/>
  <c r="G70" i="21"/>
  <c r="E70" i="21"/>
  <c r="I55" i="21"/>
  <c r="G55" i="21"/>
  <c r="E55" i="21"/>
  <c r="I39" i="21"/>
  <c r="G39" i="21"/>
  <c r="E39" i="21"/>
  <c r="I38" i="21"/>
  <c r="G38" i="21"/>
  <c r="E38" i="21"/>
  <c r="I37" i="21"/>
  <c r="G37" i="21"/>
  <c r="E37" i="21"/>
  <c r="I36" i="21"/>
  <c r="G36" i="21"/>
  <c r="E36" i="21"/>
  <c r="I35" i="21"/>
  <c r="G35" i="21"/>
  <c r="E35" i="21"/>
  <c r="I34" i="21"/>
  <c r="G34" i="21"/>
  <c r="E34" i="21"/>
  <c r="I33" i="21"/>
  <c r="G33" i="21"/>
  <c r="E33" i="21"/>
  <c r="I32" i="21"/>
  <c r="G32" i="21"/>
  <c r="E32" i="21"/>
  <c r="I31" i="21"/>
  <c r="G31" i="21"/>
  <c r="E31" i="21"/>
  <c r="I30" i="21"/>
  <c r="G30" i="21"/>
  <c r="E30" i="21"/>
  <c r="I22" i="21"/>
  <c r="G22" i="21"/>
  <c r="E22" i="21"/>
  <c r="I21" i="21"/>
  <c r="G21" i="21"/>
  <c r="E21" i="21"/>
  <c r="I20" i="21"/>
  <c r="G20" i="21"/>
  <c r="E20" i="21"/>
  <c r="I19" i="21"/>
  <c r="G19" i="21"/>
  <c r="E19" i="21"/>
  <c r="I18" i="21"/>
  <c r="G18" i="21"/>
  <c r="E18" i="21"/>
  <c r="I17" i="21"/>
  <c r="G17" i="21"/>
  <c r="E17" i="21"/>
  <c r="I16" i="21"/>
  <c r="G16" i="21"/>
  <c r="E16" i="21"/>
  <c r="I15" i="21"/>
  <c r="G15" i="21"/>
  <c r="E15" i="21"/>
  <c r="I14" i="21"/>
  <c r="G14" i="21"/>
  <c r="E14" i="21"/>
  <c r="I13" i="21"/>
  <c r="E13" i="21"/>
  <c r="A5" i="21" a="1"/>
  <c r="A5" i="21" s="1"/>
  <c r="B4" i="21"/>
  <c r="I70" i="20"/>
  <c r="G70" i="20"/>
  <c r="E70" i="20"/>
  <c r="I55" i="20"/>
  <c r="G55" i="20"/>
  <c r="E55" i="20"/>
  <c r="I39" i="20"/>
  <c r="G39" i="20"/>
  <c r="E39" i="20"/>
  <c r="I38" i="20"/>
  <c r="G38" i="20"/>
  <c r="E38" i="20"/>
  <c r="I37" i="20"/>
  <c r="G37" i="20"/>
  <c r="E37" i="20"/>
  <c r="I36" i="20"/>
  <c r="G36" i="20"/>
  <c r="E36" i="20"/>
  <c r="I35" i="20"/>
  <c r="G35" i="20"/>
  <c r="E35" i="20"/>
  <c r="I34" i="20"/>
  <c r="G34" i="20"/>
  <c r="E34" i="20"/>
  <c r="I33" i="20"/>
  <c r="G33" i="20"/>
  <c r="E33" i="20"/>
  <c r="I32" i="20"/>
  <c r="G32" i="20"/>
  <c r="E32" i="20"/>
  <c r="I31" i="20"/>
  <c r="G31" i="20"/>
  <c r="E31" i="20"/>
  <c r="I30" i="20"/>
  <c r="G30" i="20"/>
  <c r="E30" i="20"/>
  <c r="I22" i="20"/>
  <c r="G22" i="20"/>
  <c r="E22" i="20"/>
  <c r="I21" i="20"/>
  <c r="G21" i="20"/>
  <c r="E21" i="20"/>
  <c r="I20" i="20"/>
  <c r="G20" i="20"/>
  <c r="E20" i="20"/>
  <c r="I19" i="20"/>
  <c r="G19" i="20"/>
  <c r="E19" i="20"/>
  <c r="I18" i="20"/>
  <c r="G18" i="20"/>
  <c r="E18" i="20"/>
  <c r="I17" i="20"/>
  <c r="G17" i="20"/>
  <c r="E17" i="20"/>
  <c r="I16" i="20"/>
  <c r="G16" i="20"/>
  <c r="E16" i="20"/>
  <c r="I15" i="20"/>
  <c r="G15" i="20"/>
  <c r="E15" i="20"/>
  <c r="I14" i="20"/>
  <c r="G14" i="20"/>
  <c r="E14" i="20"/>
  <c r="I13" i="20"/>
  <c r="E13" i="20"/>
  <c r="A5" i="20" a="1"/>
  <c r="A5" i="20" s="1"/>
  <c r="B4" i="20"/>
  <c r="I70" i="19"/>
  <c r="G70" i="19"/>
  <c r="E70" i="19"/>
  <c r="I55" i="19"/>
  <c r="G55" i="19"/>
  <c r="E55" i="19"/>
  <c r="I39" i="19"/>
  <c r="G39" i="19"/>
  <c r="E39" i="19"/>
  <c r="I38" i="19"/>
  <c r="G38" i="19"/>
  <c r="E38" i="19"/>
  <c r="I37" i="19"/>
  <c r="G37" i="19"/>
  <c r="E37" i="19"/>
  <c r="I36" i="19"/>
  <c r="G36" i="19"/>
  <c r="E36" i="19"/>
  <c r="I35" i="19"/>
  <c r="G35" i="19"/>
  <c r="E35" i="19"/>
  <c r="I34" i="19"/>
  <c r="G34" i="19"/>
  <c r="E34" i="19"/>
  <c r="I33" i="19"/>
  <c r="G33" i="19"/>
  <c r="E33" i="19"/>
  <c r="I32" i="19"/>
  <c r="G32" i="19"/>
  <c r="E32" i="19"/>
  <c r="I31" i="19"/>
  <c r="G31" i="19"/>
  <c r="E31" i="19"/>
  <c r="I30" i="19"/>
  <c r="G30" i="19"/>
  <c r="E30" i="19"/>
  <c r="I22" i="19"/>
  <c r="G22" i="19"/>
  <c r="E22" i="19"/>
  <c r="I21" i="19"/>
  <c r="G21" i="19"/>
  <c r="E21" i="19"/>
  <c r="I20" i="19"/>
  <c r="G20" i="19"/>
  <c r="E20" i="19"/>
  <c r="I19" i="19"/>
  <c r="G19" i="19"/>
  <c r="E19" i="19"/>
  <c r="I18" i="19"/>
  <c r="G18" i="19"/>
  <c r="E18" i="19"/>
  <c r="I17" i="19"/>
  <c r="G17" i="19"/>
  <c r="E17" i="19"/>
  <c r="I16" i="19"/>
  <c r="G16" i="19"/>
  <c r="E16" i="19"/>
  <c r="I15" i="19"/>
  <c r="G15" i="19"/>
  <c r="E15" i="19"/>
  <c r="I14" i="19"/>
  <c r="G14" i="19"/>
  <c r="E14" i="19"/>
  <c r="I13" i="19"/>
  <c r="G13" i="19"/>
  <c r="E13" i="19"/>
  <c r="A5" i="19" a="1"/>
  <c r="A5" i="19" s="1"/>
  <c r="B4" i="19"/>
  <c r="I70" i="18"/>
  <c r="G70" i="18"/>
  <c r="E70" i="18"/>
  <c r="I55" i="18"/>
  <c r="G55" i="18"/>
  <c r="E55" i="18"/>
  <c r="I39" i="18"/>
  <c r="G39" i="18"/>
  <c r="E39" i="18"/>
  <c r="I38" i="18"/>
  <c r="G38" i="18"/>
  <c r="E38" i="18"/>
  <c r="I37" i="18"/>
  <c r="G37" i="18"/>
  <c r="E37" i="18"/>
  <c r="I36" i="18"/>
  <c r="G36" i="18"/>
  <c r="E36" i="18"/>
  <c r="I35" i="18"/>
  <c r="G35" i="18"/>
  <c r="E35" i="18"/>
  <c r="I34" i="18"/>
  <c r="G34" i="18"/>
  <c r="E34" i="18"/>
  <c r="I33" i="18"/>
  <c r="G33" i="18"/>
  <c r="E33" i="18"/>
  <c r="I32" i="18"/>
  <c r="G32" i="18"/>
  <c r="E32" i="18"/>
  <c r="I31" i="18"/>
  <c r="G31" i="18"/>
  <c r="E31" i="18"/>
  <c r="I30" i="18"/>
  <c r="G30" i="18"/>
  <c r="E30" i="18"/>
  <c r="I22" i="18"/>
  <c r="G22" i="18"/>
  <c r="E22" i="18"/>
  <c r="I21" i="18"/>
  <c r="G21" i="18"/>
  <c r="E21" i="18"/>
  <c r="I20" i="18"/>
  <c r="G20" i="18"/>
  <c r="E20" i="18"/>
  <c r="I19" i="18"/>
  <c r="G19" i="18"/>
  <c r="E19" i="18"/>
  <c r="I18" i="18"/>
  <c r="G18" i="18"/>
  <c r="E18" i="18"/>
  <c r="I17" i="18"/>
  <c r="G17" i="18"/>
  <c r="E17" i="18"/>
  <c r="I16" i="18"/>
  <c r="G16" i="18"/>
  <c r="E16" i="18"/>
  <c r="I15" i="18"/>
  <c r="G15" i="18"/>
  <c r="E15" i="18"/>
  <c r="I14" i="18"/>
  <c r="G14" i="18"/>
  <c r="E14" i="18"/>
  <c r="I13" i="18"/>
  <c r="G13" i="18"/>
  <c r="E13" i="18"/>
  <c r="A5" i="18" a="1"/>
  <c r="A5" i="18" s="1"/>
  <c r="B4" i="18"/>
  <c r="I70" i="16"/>
  <c r="G70" i="16"/>
  <c r="E70" i="16"/>
  <c r="I55" i="16"/>
  <c r="G55" i="16"/>
  <c r="E55" i="16"/>
  <c r="I39" i="16"/>
  <c r="G39" i="16"/>
  <c r="E39" i="16"/>
  <c r="I38" i="16"/>
  <c r="G38" i="16"/>
  <c r="E38" i="16"/>
  <c r="I37" i="16"/>
  <c r="G37" i="16"/>
  <c r="E37" i="16"/>
  <c r="I36" i="16"/>
  <c r="G36" i="16"/>
  <c r="E36" i="16"/>
  <c r="I35" i="16"/>
  <c r="G35" i="16"/>
  <c r="E35" i="16"/>
  <c r="I34" i="16"/>
  <c r="G34" i="16"/>
  <c r="E34" i="16"/>
  <c r="I33" i="16"/>
  <c r="G33" i="16"/>
  <c r="E33" i="16"/>
  <c r="I32" i="16"/>
  <c r="G32" i="16"/>
  <c r="E32" i="16"/>
  <c r="I31" i="16"/>
  <c r="G31" i="16"/>
  <c r="E31" i="16"/>
  <c r="I30" i="16"/>
  <c r="G30" i="16"/>
  <c r="E30" i="16"/>
  <c r="I22" i="16"/>
  <c r="G22" i="16"/>
  <c r="E22" i="16"/>
  <c r="I21" i="16"/>
  <c r="G21" i="16"/>
  <c r="E21" i="16"/>
  <c r="I20" i="16"/>
  <c r="G20" i="16"/>
  <c r="E20" i="16"/>
  <c r="I19" i="16"/>
  <c r="G19" i="16"/>
  <c r="E19" i="16"/>
  <c r="I18" i="16"/>
  <c r="G18" i="16"/>
  <c r="E18" i="16"/>
  <c r="I17" i="16"/>
  <c r="G17" i="16"/>
  <c r="E17" i="16"/>
  <c r="I16" i="16"/>
  <c r="G16" i="16"/>
  <c r="E16" i="16"/>
  <c r="I15" i="16"/>
  <c r="G15" i="16"/>
  <c r="E15" i="16"/>
  <c r="I14" i="16"/>
  <c r="G14" i="16"/>
  <c r="E14" i="16"/>
  <c r="I13" i="16"/>
  <c r="G13" i="16"/>
  <c r="E13" i="16"/>
  <c r="A5" i="16" a="1"/>
  <c r="A5" i="16" s="1"/>
  <c r="B4" i="16"/>
  <c r="I70" i="15"/>
  <c r="G70" i="15"/>
  <c r="E70" i="15"/>
  <c r="I55" i="15"/>
  <c r="G55" i="15"/>
  <c r="E55" i="15"/>
  <c r="I39" i="15"/>
  <c r="G39" i="15"/>
  <c r="E39" i="15"/>
  <c r="I38" i="15"/>
  <c r="G38" i="15"/>
  <c r="E38" i="15"/>
  <c r="I37" i="15"/>
  <c r="G37" i="15"/>
  <c r="E37" i="15"/>
  <c r="I36" i="15"/>
  <c r="G36" i="15"/>
  <c r="E36" i="15"/>
  <c r="I35" i="15"/>
  <c r="G35" i="15"/>
  <c r="E35" i="15"/>
  <c r="I34" i="15"/>
  <c r="G34" i="15"/>
  <c r="E34" i="15"/>
  <c r="I33" i="15"/>
  <c r="G33" i="15"/>
  <c r="E33" i="15"/>
  <c r="I32" i="15"/>
  <c r="G32" i="15"/>
  <c r="E32" i="15"/>
  <c r="I31" i="15"/>
  <c r="G31" i="15"/>
  <c r="E31" i="15"/>
  <c r="I30" i="15"/>
  <c r="G30" i="15"/>
  <c r="E30" i="15"/>
  <c r="I22" i="15"/>
  <c r="G22" i="15"/>
  <c r="E22" i="15"/>
  <c r="I21" i="15"/>
  <c r="G21" i="15"/>
  <c r="E21" i="15"/>
  <c r="I20" i="15"/>
  <c r="G20" i="15"/>
  <c r="E20" i="15"/>
  <c r="I19" i="15"/>
  <c r="G19" i="15"/>
  <c r="E19" i="15"/>
  <c r="I18" i="15"/>
  <c r="G18" i="15"/>
  <c r="E18" i="15"/>
  <c r="I17" i="15"/>
  <c r="G17" i="15"/>
  <c r="E17" i="15"/>
  <c r="I16" i="15"/>
  <c r="G16" i="15"/>
  <c r="E16" i="15"/>
  <c r="I15" i="15"/>
  <c r="G15" i="15"/>
  <c r="E15" i="15"/>
  <c r="I14" i="15"/>
  <c r="G14" i="15"/>
  <c r="E14" i="15"/>
  <c r="I13" i="15"/>
  <c r="G13" i="15"/>
  <c r="E13" i="15"/>
  <c r="A5" i="15" a="1"/>
  <c r="A5" i="15" s="1"/>
  <c r="B4" i="15"/>
  <c r="I70" i="13"/>
  <c r="G70" i="13"/>
  <c r="E70" i="13"/>
  <c r="I55" i="13"/>
  <c r="G55" i="13"/>
  <c r="E55" i="13"/>
  <c r="I39" i="13"/>
  <c r="G39" i="13"/>
  <c r="E39" i="13"/>
  <c r="I38" i="13"/>
  <c r="G38" i="13"/>
  <c r="E38" i="13"/>
  <c r="I37" i="13"/>
  <c r="G37" i="13"/>
  <c r="E37" i="13"/>
  <c r="I36" i="13"/>
  <c r="G36" i="13"/>
  <c r="E36" i="13"/>
  <c r="I35" i="13"/>
  <c r="G35" i="13"/>
  <c r="E35" i="13"/>
  <c r="I34" i="13"/>
  <c r="G34" i="13"/>
  <c r="E34" i="13"/>
  <c r="I33" i="13"/>
  <c r="G33" i="13"/>
  <c r="E33" i="13"/>
  <c r="I32" i="13"/>
  <c r="G32" i="13"/>
  <c r="E32" i="13"/>
  <c r="I31" i="13"/>
  <c r="G31" i="13"/>
  <c r="E31" i="13"/>
  <c r="I30" i="13"/>
  <c r="G30" i="13"/>
  <c r="E30" i="13"/>
  <c r="I22" i="13"/>
  <c r="G22" i="13"/>
  <c r="E22" i="13"/>
  <c r="I21" i="13"/>
  <c r="G21" i="13"/>
  <c r="E21" i="13"/>
  <c r="I20" i="13"/>
  <c r="G20" i="13"/>
  <c r="E20" i="13"/>
  <c r="I19" i="13"/>
  <c r="G19" i="13"/>
  <c r="E19" i="13"/>
  <c r="I18" i="13"/>
  <c r="G18" i="13"/>
  <c r="E18" i="13"/>
  <c r="I17" i="13"/>
  <c r="G17" i="13"/>
  <c r="E17" i="13"/>
  <c r="I16" i="13"/>
  <c r="G16" i="13"/>
  <c r="E16" i="13"/>
  <c r="I15" i="13"/>
  <c r="G15" i="13"/>
  <c r="E15" i="13"/>
  <c r="I14" i="13"/>
  <c r="G14" i="13"/>
  <c r="E14" i="13"/>
  <c r="I13" i="13"/>
  <c r="G13" i="13"/>
  <c r="E13" i="13"/>
  <c r="A5" i="13" a="1"/>
  <c r="A5" i="13" s="1"/>
  <c r="B4" i="13"/>
  <c r="I70" i="5"/>
  <c r="G70" i="5"/>
  <c r="E70" i="5"/>
  <c r="I55" i="5"/>
  <c r="G55" i="5"/>
  <c r="E55" i="5"/>
  <c r="I39" i="5"/>
  <c r="G39" i="5"/>
  <c r="E39" i="5"/>
  <c r="I38" i="5"/>
  <c r="G38" i="5"/>
  <c r="E38" i="5"/>
  <c r="I37" i="5"/>
  <c r="G37" i="5"/>
  <c r="E37" i="5"/>
  <c r="I36" i="5"/>
  <c r="G36" i="5"/>
  <c r="E36" i="5"/>
  <c r="I35" i="5"/>
  <c r="G35" i="5"/>
  <c r="E35" i="5"/>
  <c r="I34" i="5"/>
  <c r="G34" i="5"/>
  <c r="E34" i="5"/>
  <c r="I33" i="5"/>
  <c r="G33" i="5"/>
  <c r="E33" i="5"/>
  <c r="I32" i="5"/>
  <c r="G32" i="5"/>
  <c r="E32" i="5"/>
  <c r="I31" i="5"/>
  <c r="G31" i="5"/>
  <c r="E31" i="5"/>
  <c r="I30" i="5"/>
  <c r="G30" i="5"/>
  <c r="E30" i="5"/>
  <c r="I24" i="5"/>
  <c r="E24" i="5"/>
  <c r="I22" i="5"/>
  <c r="G22" i="5"/>
  <c r="E22" i="5"/>
  <c r="I21" i="5"/>
  <c r="G21" i="5"/>
  <c r="E21" i="5"/>
  <c r="I20" i="5"/>
  <c r="G20" i="5"/>
  <c r="E20" i="5"/>
  <c r="I19" i="5"/>
  <c r="G19" i="5"/>
  <c r="E19" i="5"/>
  <c r="I18" i="5"/>
  <c r="G18" i="5"/>
  <c r="E18" i="5"/>
  <c r="I17" i="5"/>
  <c r="G17" i="5"/>
  <c r="E17" i="5"/>
  <c r="I16" i="5"/>
  <c r="G16" i="5"/>
  <c r="E16" i="5"/>
  <c r="I15" i="5"/>
  <c r="G15" i="5"/>
  <c r="E15" i="5"/>
  <c r="I14" i="5"/>
  <c r="G14" i="5"/>
  <c r="E14" i="5"/>
  <c r="I13" i="5"/>
  <c r="G13" i="5"/>
  <c r="E13" i="5"/>
  <c r="A5" i="5" a="1"/>
  <c r="A5" i="5" s="1"/>
  <c r="B4" i="5"/>
  <c r="AT29" i="24" a="1"/>
  <c r="AN5" i="24" a="1"/>
  <c r="AT25" i="24" a="1"/>
  <c r="BY4" i="10" a="1"/>
  <c r="AQ4" i="24" a="1"/>
  <c r="AS6" i="24" a="1"/>
  <c r="G48" i="24" a="1"/>
  <c r="G45" i="24" a="1"/>
  <c r="CB22" i="10"/>
  <c r="G30" i="24" a="1"/>
  <c r="AU43" i="24" a="1"/>
  <c r="BV8" i="10" a="1"/>
  <c r="BW21" i="10" a="1"/>
  <c r="BV4" i="10" a="1"/>
  <c r="AO5" i="24" a="1"/>
  <c r="G42" i="24" a="1"/>
  <c r="G8" i="24" a="1"/>
  <c r="AU42" i="24" a="1"/>
  <c r="AS11" i="24" a="1"/>
  <c r="AN10" i="24" a="1"/>
  <c r="BV10" i="10" a="1"/>
  <c r="G47" i="24" a="1"/>
  <c r="AN2" i="24" a="1"/>
  <c r="G61" i="24" a="1"/>
  <c r="BX21" i="10" a="1"/>
  <c r="AU48" i="24" a="1"/>
  <c r="AS7" i="24" a="1"/>
  <c r="CC10" i="10" a="1"/>
  <c r="BY21" i="10" a="1"/>
  <c r="W5" i="10" a="1"/>
  <c r="AT26" i="24" a="1"/>
  <c r="AQ10" i="24" a="1"/>
  <c r="AU47" i="24" a="1"/>
  <c r="AU44" i="24" a="1"/>
  <c r="BW2" i="10" a="1"/>
  <c r="AO2" i="24" a="1"/>
  <c r="CC21" i="10" a="1"/>
  <c r="BY9" i="10" a="1"/>
  <c r="AR5" i="24" a="1"/>
  <c r="AS8" i="24" a="1"/>
  <c r="CC9" i="10" a="1"/>
  <c r="BX3" i="10" a="1"/>
  <c r="L10" i="10" a="1"/>
  <c r="AS3" i="24" a="1"/>
  <c r="AN9" i="24" a="1"/>
  <c r="CC3" i="10" a="1"/>
  <c r="G50" i="24" a="1"/>
  <c r="G24" i="24" a="1"/>
  <c r="AU46" i="24" a="1"/>
  <c r="AS10" i="24" a="1"/>
  <c r="G23" i="24" a="1"/>
  <c r="W3" i="10" a="1"/>
  <c r="G4" i="24" a="1"/>
  <c r="AS4" i="24" a="1"/>
  <c r="BX8" i="10" a="1"/>
  <c r="AO7" i="24" a="1"/>
  <c r="AT30" i="24" a="1"/>
  <c r="BW10" i="10" a="1"/>
  <c r="G6" i="24" a="1"/>
  <c r="G43" i="24" a="1"/>
  <c r="AR2" i="24" a="1"/>
  <c r="AQ9" i="24" a="1"/>
  <c r="AR10" i="24" a="1"/>
  <c r="L7" i="10" a="1"/>
  <c r="W4" i="10" a="1"/>
  <c r="AO9" i="24" a="1"/>
  <c r="AQ6" i="24" a="1"/>
  <c r="AN4" i="24" a="1"/>
  <c r="AQ2" i="24" a="1"/>
  <c r="G3" i="24" a="1"/>
  <c r="G44" i="24" a="1"/>
  <c r="G25" i="24" a="1"/>
  <c r="L8" i="10" a="1"/>
  <c r="AT24" i="24" a="1"/>
  <c r="AT31" i="24" a="1"/>
  <c r="G11" i="24" a="1"/>
  <c r="L4" i="10" a="1"/>
  <c r="G26" i="24" a="1"/>
  <c r="AS9" i="24" a="1"/>
  <c r="G27" i="24" a="1"/>
  <c r="AO6" i="24" a="1"/>
  <c r="BV7" i="10" a="1"/>
  <c r="BY8" i="10" a="1"/>
  <c r="G9" i="24" a="1"/>
  <c r="AN6" i="24" a="1"/>
  <c r="G21" i="24" a="1"/>
  <c r="BV3" i="10" a="1"/>
  <c r="AR6" i="24" a="1"/>
  <c r="AS5" i="24" a="1"/>
  <c r="AO4" i="24" a="1"/>
  <c r="CC7" i="10" a="1"/>
  <c r="AR9" i="24" a="1"/>
  <c r="AS2" i="24" a="1"/>
  <c r="BY3" i="10" a="1"/>
  <c r="W7" i="10" a="1"/>
  <c r="AO11" i="24" a="1"/>
  <c r="BX2" i="10" a="1"/>
  <c r="W9" i="10" a="1"/>
  <c r="AT23" i="24" a="1"/>
  <c r="BY10" i="10" a="1"/>
  <c r="AR4" i="24" a="1"/>
  <c r="BX7" i="10" a="1"/>
  <c r="G51" i="24" a="1"/>
  <c r="AT22" i="24" a="1"/>
  <c r="W2" i="10" a="1"/>
  <c r="BW8" i="10" a="1"/>
  <c r="W10" i="10" a="1"/>
  <c r="G7" i="24" a="1"/>
  <c r="L2" i="10" a="1"/>
  <c r="AO8" i="24" a="1"/>
  <c r="CA22" i="10"/>
  <c r="L21" i="10" a="1"/>
  <c r="BX9" i="10" a="1"/>
  <c r="AU45" i="24" a="1"/>
  <c r="CC6" i="10" a="1"/>
  <c r="BW9" i="10" a="1"/>
  <c r="CC5" i="10" a="1"/>
  <c r="BY7" i="10" a="1"/>
  <c r="G41" i="24" a="1"/>
  <c r="BW3" i="10" a="1"/>
  <c r="L9" i="10" a="1"/>
  <c r="G10" i="24" a="1"/>
  <c r="BV9" i="10" a="1"/>
  <c r="AO3" i="24" a="1"/>
  <c r="W6" i="10" a="1"/>
  <c r="L6" i="10" a="1"/>
  <c r="BV5" i="10" a="1"/>
  <c r="BV6" i="10" a="1"/>
  <c r="W8" i="10" a="1"/>
  <c r="AU51" i="24" a="1"/>
  <c r="AQ7" i="24" a="1"/>
  <c r="AT27" i="24" a="1"/>
  <c r="AO10" i="24" a="1"/>
  <c r="AN8" i="24" a="1"/>
  <c r="G5" i="24" a="1"/>
  <c r="CC4" i="10" a="1"/>
  <c r="G31" i="24" a="1"/>
  <c r="G49" i="24" a="1"/>
  <c r="AR8" i="24" a="1"/>
  <c r="L3" i="10" a="1"/>
  <c r="BV21" i="10" a="1"/>
  <c r="AU50" i="24" a="1"/>
  <c r="BY5" i="10" a="1"/>
  <c r="G46" i="24" a="1"/>
  <c r="CC8" i="10" a="1"/>
  <c r="AT28" i="24" a="1"/>
  <c r="G29" i="24" a="1"/>
  <c r="BV2" i="10" a="1"/>
  <c r="AQ5" i="24" a="1"/>
  <c r="BW6" i="10" a="1"/>
  <c r="AR7" i="24" a="1"/>
  <c r="W21" i="10" a="1"/>
  <c r="BX6" i="10" a="1"/>
  <c r="BY2" i="10" a="1"/>
  <c r="BX10" i="10" a="1"/>
  <c r="G22" i="24" a="1"/>
  <c r="L5" i="10" a="1"/>
  <c r="BY6" i="10" a="1"/>
  <c r="BW4" i="10" a="1"/>
  <c r="AR11" i="24" a="1"/>
  <c r="BW5" i="10" a="1"/>
  <c r="G2" i="24" a="1"/>
  <c r="BX5" i="10" a="1"/>
  <c r="AQ8" i="24" a="1"/>
  <c r="BW7" i="10" a="1"/>
  <c r="AU49" i="24" a="1"/>
  <c r="G28" i="24" a="1"/>
  <c r="BX4" i="10" a="1"/>
  <c r="G75" i="33" l="1" a="1"/>
  <c r="G75" i="33" s="1"/>
  <c r="G76" i="33" s="1" a="1"/>
  <c r="G76" i="33" s="1"/>
  <c r="E75" i="36" a="1"/>
  <c r="E75" i="36" s="1"/>
  <c r="E76" i="36" s="1" a="1"/>
  <c r="E76" i="36" s="1"/>
  <c r="E75" i="33" a="1"/>
  <c r="E75" i="33" s="1"/>
  <c r="E76" i="33" s="1" a="1"/>
  <c r="E76" i="33" s="1"/>
  <c r="G75" i="36" a="1"/>
  <c r="G75" i="36" s="1"/>
  <c r="G76" i="36" s="1" a="1"/>
  <c r="G76" i="36" s="1"/>
  <c r="I75" i="38" a="1"/>
  <c r="I75" i="38" s="1"/>
  <c r="I76" i="38" s="1" a="1"/>
  <c r="I76" i="38" s="1"/>
  <c r="I75" i="36" a="1"/>
  <c r="I75" i="36" s="1"/>
  <c r="I76" i="36" s="1" a="1"/>
  <c r="I76" i="36" s="1"/>
  <c r="E75" i="38" a="1"/>
  <c r="E75" i="38" s="1"/>
  <c r="E76" i="38" s="1" a="1"/>
  <c r="E76" i="38" s="1"/>
  <c r="E75" i="32" a="1"/>
  <c r="E75" i="32" s="1"/>
  <c r="E76" i="32" s="1" a="1"/>
  <c r="E76" i="32" s="1"/>
  <c r="G75" i="38" a="1"/>
  <c r="G75" i="38" s="1"/>
  <c r="G76" i="38" s="1" a="1"/>
  <c r="G76" i="38" s="1"/>
  <c r="I75" i="32" a="1"/>
  <c r="I75" i="32" s="1"/>
  <c r="I76" i="32" s="1" a="1"/>
  <c r="I76" i="32" s="1"/>
  <c r="G75" i="32" a="1"/>
  <c r="G75" i="32" s="1"/>
  <c r="G76" i="32" s="1" a="1"/>
  <c r="G76" i="32" s="1"/>
  <c r="I75" i="34" a="1"/>
  <c r="I75" i="34" s="1"/>
  <c r="I76" i="34" s="1" a="1"/>
  <c r="I76" i="34" s="1"/>
  <c r="E75" i="39" a="1"/>
  <c r="E75" i="39" s="1"/>
  <c r="G75" i="34" a="1"/>
  <c r="G75" i="34" s="1"/>
  <c r="G76" i="34" s="1" a="1"/>
  <c r="G76" i="34" s="1"/>
  <c r="G75" i="30" a="1"/>
  <c r="G75" i="30" s="1"/>
  <c r="G76" i="30" s="1" a="1"/>
  <c r="G76" i="30" s="1"/>
  <c r="E75" i="34" a="1"/>
  <c r="E75" i="34" s="1"/>
  <c r="E76" i="34" s="1" a="1"/>
  <c r="E76" i="34" s="1"/>
  <c r="E75" i="30" a="1"/>
  <c r="E75" i="30" s="1"/>
  <c r="E76" i="30" s="1" a="1"/>
  <c r="E76" i="30" s="1"/>
  <c r="I75" i="30" a="1"/>
  <c r="I75" i="30" s="1"/>
  <c r="I76" i="30" s="1" a="1"/>
  <c r="I76" i="30" s="1"/>
  <c r="I75" i="35" a="1"/>
  <c r="I75" i="35" s="1"/>
  <c r="I76" i="35" s="1" a="1"/>
  <c r="I76" i="35" s="1"/>
  <c r="G75" i="35" a="1"/>
  <c r="G75" i="35" s="1"/>
  <c r="G76" i="35" s="1" a="1"/>
  <c r="G76" i="35" s="1"/>
  <c r="I75" i="31" a="1"/>
  <c r="I75" i="31" s="1"/>
  <c r="I76" i="31" s="1" a="1"/>
  <c r="I76" i="31" s="1"/>
  <c r="E75" i="35" a="1"/>
  <c r="E75" i="35" s="1"/>
  <c r="E76" i="35" s="1" a="1"/>
  <c r="E76" i="35" s="1"/>
  <c r="G75" i="31" a="1"/>
  <c r="G75" i="31" s="1"/>
  <c r="G76" i="31" s="1" a="1"/>
  <c r="G76" i="31" s="1"/>
  <c r="I75" i="39" a="1"/>
  <c r="I75" i="39" s="1"/>
  <c r="E75" i="31" a="1"/>
  <c r="E75" i="31" s="1"/>
  <c r="E76" i="31" s="1" a="1"/>
  <c r="E76" i="31" s="1"/>
  <c r="G75" i="39" a="1"/>
  <c r="G75" i="39" s="1"/>
  <c r="I75" i="37" a="1"/>
  <c r="I75" i="37" s="1"/>
  <c r="I76" i="37" s="1" a="1"/>
  <c r="I76" i="37" s="1"/>
  <c r="G75" i="37" a="1"/>
  <c r="G75" i="37" s="1"/>
  <c r="G76" i="37" s="1" a="1"/>
  <c r="G76" i="37" s="1"/>
  <c r="E75" i="37" a="1"/>
  <c r="E75" i="37" s="1"/>
  <c r="E76" i="37" s="1" a="1"/>
  <c r="E76" i="37" s="1"/>
  <c r="I75" i="33" a="1"/>
  <c r="I75" i="33" s="1"/>
  <c r="I76" i="33" s="1" a="1"/>
  <c r="I76" i="33" s="1"/>
  <c r="J25" i="19"/>
  <c r="J25" i="20"/>
  <c r="J25" i="21"/>
  <c r="J25" i="22"/>
  <c r="G75" i="23" a="1"/>
  <c r="G75" i="23" s="1"/>
  <c r="E75" i="23" a="1"/>
  <c r="E75" i="23" s="1"/>
  <c r="I75" i="23" a="1"/>
  <c r="I75" i="23" s="1"/>
  <c r="J25" i="15"/>
  <c r="J25" i="16"/>
  <c r="J25" i="13"/>
  <c r="J25" i="18"/>
  <c r="J25" i="5"/>
  <c r="S3" i="44"/>
  <c r="S7" i="44"/>
  <c r="S21" i="44"/>
  <c r="S4" i="44"/>
  <c r="S8" i="44"/>
  <c r="S5" i="44"/>
  <c r="S9" i="44"/>
  <c r="S6" i="44"/>
  <c r="S10" i="44"/>
  <c r="R10" i="44"/>
  <c r="R4" i="44"/>
  <c r="R5" i="44"/>
  <c r="R8" i="44"/>
  <c r="R7" i="44"/>
  <c r="R9" i="44"/>
  <c r="R6" i="44"/>
  <c r="R21" i="44"/>
  <c r="R3" i="44"/>
  <c r="CN17" i="10"/>
  <c r="CN13" i="10"/>
  <c r="CO13" i="10"/>
  <c r="CN15" i="10"/>
  <c r="CP17" i="10"/>
  <c r="CP13" i="10"/>
  <c r="CO17" i="10"/>
  <c r="CO15" i="10"/>
  <c r="CP15" i="10"/>
  <c r="CM17" i="10"/>
  <c r="CM13" i="10"/>
  <c r="CM15" i="10"/>
  <c r="CN14" i="10"/>
  <c r="CM12" i="10"/>
  <c r="CN20" i="10"/>
  <c r="CN18" i="10"/>
  <c r="CO16" i="10"/>
  <c r="CP16" i="10"/>
  <c r="CM14" i="10"/>
  <c r="CP20" i="10"/>
  <c r="CO14" i="10"/>
  <c r="CO19" i="10"/>
  <c r="CP14" i="10"/>
  <c r="CO12" i="10"/>
  <c r="CO20" i="10"/>
  <c r="CN16" i="10"/>
  <c r="CP19" i="10"/>
  <c r="CP12" i="10"/>
  <c r="CN12" i="10"/>
  <c r="CN19" i="10"/>
  <c r="CP18" i="10"/>
  <c r="CO18" i="10"/>
  <c r="CM20" i="10"/>
  <c r="CM19" i="10"/>
  <c r="CM16" i="10"/>
  <c r="CM18" i="10"/>
  <c r="R2" i="44"/>
  <c r="S2" i="44"/>
  <c r="E9" i="23"/>
  <c r="J25" i="23"/>
  <c r="V22" i="10"/>
  <c r="U22" i="10"/>
  <c r="R22" i="10"/>
  <c r="AJ4" i="10"/>
  <c r="AJ3" i="10"/>
  <c r="AJ5" i="10"/>
  <c r="AJ6" i="10"/>
  <c r="AJ7" i="10"/>
  <c r="AJ8" i="10"/>
  <c r="AJ9" i="10"/>
  <c r="AJ10" i="10"/>
  <c r="AJ21" i="10"/>
  <c r="F2" i="10" a="1"/>
  <c r="F2" i="10" s="1"/>
  <c r="B6" i="5" s="1"/>
  <c r="T22" i="10"/>
  <c r="S22" i="10"/>
  <c r="AS5" i="24"/>
  <c r="AS9" i="24"/>
  <c r="AT25" i="24"/>
  <c r="AT29" i="24"/>
  <c r="AU43" i="24"/>
  <c r="AU47" i="24"/>
  <c r="AU51" i="24"/>
  <c r="AS2" i="24"/>
  <c r="AS6" i="24"/>
  <c r="AS10" i="24"/>
  <c r="AT24" i="24"/>
  <c r="AT28" i="24"/>
  <c r="AU42" i="24"/>
  <c r="AU46" i="24"/>
  <c r="AU50" i="24"/>
  <c r="AS3" i="24"/>
  <c r="AS7" i="24"/>
  <c r="AS11" i="24"/>
  <c r="AT23" i="24"/>
  <c r="AT27" i="24"/>
  <c r="AT31" i="24"/>
  <c r="AU45" i="24"/>
  <c r="AU49" i="24"/>
  <c r="AS4" i="24"/>
  <c r="AS8" i="24"/>
  <c r="AT22" i="24"/>
  <c r="AT26" i="24"/>
  <c r="AT30" i="24"/>
  <c r="AU44" i="24"/>
  <c r="AU48" i="24"/>
  <c r="Q9" i="44"/>
  <c r="Q6" i="44"/>
  <c r="Q7" i="44"/>
  <c r="Q10" i="44"/>
  <c r="Q21" i="44"/>
  <c r="Q3" i="44"/>
  <c r="Q5" i="44"/>
  <c r="Q4" i="44"/>
  <c r="Q8" i="44"/>
  <c r="Y2" i="10"/>
  <c r="Q22" i="10"/>
  <c r="T15" i="8"/>
  <c r="T13" i="8"/>
  <c r="X13" i="8"/>
  <c r="T16" i="8"/>
  <c r="X16" i="8"/>
  <c r="T10" i="8"/>
  <c r="T9" i="8"/>
  <c r="J2" i="10" a="1"/>
  <c r="J2" i="10" s="1"/>
  <c r="J3" i="10" a="1"/>
  <c r="J3" i="10" s="1"/>
  <c r="J4" i="10" a="1"/>
  <c r="J4" i="10" s="1"/>
  <c r="J5" i="10" a="1"/>
  <c r="J5" i="10" s="1"/>
  <c r="J6" i="10" a="1"/>
  <c r="J6" i="10" s="1"/>
  <c r="J7" i="10" a="1"/>
  <c r="J7" i="10" s="1"/>
  <c r="J8" i="10" a="1"/>
  <c r="J8" i="10" s="1"/>
  <c r="J9" i="10" a="1"/>
  <c r="J9" i="10" s="1"/>
  <c r="J10" i="10" a="1"/>
  <c r="J10" i="10" s="1"/>
  <c r="J21" i="10" a="1"/>
  <c r="J21" i="10" s="1"/>
  <c r="I2" i="10" a="1"/>
  <c r="I2" i="10" s="1"/>
  <c r="I3" i="10" a="1"/>
  <c r="I3" i="10" s="1"/>
  <c r="I4" i="10" a="1"/>
  <c r="I4" i="10" s="1"/>
  <c r="I5" i="10" a="1"/>
  <c r="I5" i="10" s="1"/>
  <c r="I6" i="10" a="1"/>
  <c r="I6" i="10" s="1"/>
  <c r="I7" i="10" a="1"/>
  <c r="I7" i="10" s="1"/>
  <c r="I8" i="10" a="1"/>
  <c r="I8" i="10" s="1"/>
  <c r="I9" i="10" a="1"/>
  <c r="I9" i="10" s="1"/>
  <c r="I10" i="10" a="1"/>
  <c r="I10" i="10" s="1"/>
  <c r="I21" i="10" a="1"/>
  <c r="I21" i="10" s="1"/>
  <c r="B5" i="23"/>
  <c r="B6" i="23"/>
  <c r="G41" i="24"/>
  <c r="G21" i="24"/>
  <c r="G61" i="24"/>
  <c r="J55" i="15"/>
  <c r="AD2" i="10"/>
  <c r="AD18" i="10"/>
  <c r="AD16" i="10"/>
  <c r="AD11" i="10"/>
  <c r="AD13" i="10"/>
  <c r="AD19" i="10"/>
  <c r="AD15" i="10"/>
  <c r="AD17" i="10"/>
  <c r="AD20" i="10"/>
  <c r="AD12" i="10"/>
  <c r="AD14" i="10"/>
  <c r="AD4" i="10"/>
  <c r="AD5" i="10"/>
  <c r="AD6" i="10"/>
  <c r="AD7" i="10"/>
  <c r="AD8" i="10"/>
  <c r="AD9" i="10"/>
  <c r="AD10" i="10"/>
  <c r="AD21" i="10"/>
  <c r="E23" i="23"/>
  <c r="E25" i="23" s="1"/>
  <c r="E74" i="23" s="1"/>
  <c r="J55" i="22"/>
  <c r="E23" i="22"/>
  <c r="I40" i="22"/>
  <c r="J55" i="23"/>
  <c r="G40" i="19"/>
  <c r="I40" i="20"/>
  <c r="E40" i="21"/>
  <c r="J55" i="21"/>
  <c r="G23" i="19"/>
  <c r="J55" i="20"/>
  <c r="I23" i="16"/>
  <c r="G40" i="16"/>
  <c r="E23" i="16"/>
  <c r="I40" i="13"/>
  <c r="G40" i="15"/>
  <c r="J55" i="18"/>
  <c r="E40" i="13"/>
  <c r="J55" i="16"/>
  <c r="E40" i="20"/>
  <c r="E23" i="19"/>
  <c r="E24" i="19" s="1"/>
  <c r="E25" i="19" s="1"/>
  <c r="E74" i="19" s="1"/>
  <c r="G40" i="21"/>
  <c r="I23" i="23"/>
  <c r="I25" i="23" s="1"/>
  <c r="I23" i="19"/>
  <c r="I40" i="19"/>
  <c r="G23" i="18"/>
  <c r="I40" i="5"/>
  <c r="G23" i="20"/>
  <c r="G24" i="20" s="1"/>
  <c r="G23" i="21"/>
  <c r="I40" i="21"/>
  <c r="G23" i="22"/>
  <c r="E40" i="22"/>
  <c r="E40" i="23"/>
  <c r="G23" i="16"/>
  <c r="E40" i="5"/>
  <c r="E40" i="15"/>
  <c r="I40" i="15"/>
  <c r="E40" i="16"/>
  <c r="I40" i="16"/>
  <c r="E40" i="18"/>
  <c r="E40" i="19"/>
  <c r="J55" i="19"/>
  <c r="I23" i="20"/>
  <c r="I24" i="20" s="1"/>
  <c r="G40" i="20"/>
  <c r="I23" i="21"/>
  <c r="I24" i="21" s="1"/>
  <c r="G40" i="22"/>
  <c r="G40" i="23"/>
  <c r="E23" i="18"/>
  <c r="G23" i="23"/>
  <c r="G25" i="23" s="1"/>
  <c r="G40" i="5"/>
  <c r="I23" i="18"/>
  <c r="G40" i="18"/>
  <c r="E23" i="20"/>
  <c r="E23" i="21"/>
  <c r="I40" i="23"/>
  <c r="J55" i="13"/>
  <c r="I40" i="18"/>
  <c r="J55" i="5"/>
  <c r="E23" i="13"/>
  <c r="G40" i="13"/>
  <c r="I23" i="22"/>
  <c r="G23" i="15"/>
  <c r="G24" i="15" s="1"/>
  <c r="G23" i="5"/>
  <c r="G24" i="5" s="1"/>
  <c r="G25" i="5" s="1"/>
  <c r="CC21" i="10"/>
  <c r="CC10" i="10"/>
  <c r="CC8" i="10"/>
  <c r="CC9" i="10"/>
  <c r="T27" i="8"/>
  <c r="T14" i="8"/>
  <c r="AB2" i="10"/>
  <c r="AB3" i="10"/>
  <c r="AB4" i="10"/>
  <c r="AB5" i="10"/>
  <c r="AB6" i="10"/>
  <c r="AB7" i="10"/>
  <c r="AB8" i="10"/>
  <c r="AB9" i="10"/>
  <c r="AB10" i="10"/>
  <c r="AB21" i="10"/>
  <c r="G42" i="24"/>
  <c r="G2" i="24"/>
  <c r="G22" i="24"/>
  <c r="G3" i="24"/>
  <c r="G43" i="24"/>
  <c r="G23" i="24"/>
  <c r="G44" i="24"/>
  <c r="G4" i="24"/>
  <c r="G24" i="24"/>
  <c r="G5" i="24"/>
  <c r="G45" i="24"/>
  <c r="G25" i="24"/>
  <c r="G26" i="24"/>
  <c r="G46" i="24"/>
  <c r="G6" i="24"/>
  <c r="G47" i="24"/>
  <c r="G7" i="24"/>
  <c r="G27" i="24"/>
  <c r="G28" i="24"/>
  <c r="G8" i="24"/>
  <c r="G48" i="24"/>
  <c r="G49" i="24"/>
  <c r="G29" i="24"/>
  <c r="G9" i="24"/>
  <c r="G10" i="24"/>
  <c r="G30" i="24"/>
  <c r="G50" i="24"/>
  <c r="G11" i="24"/>
  <c r="G31" i="24"/>
  <c r="G51" i="24"/>
  <c r="CC7" i="10"/>
  <c r="CC5" i="10"/>
  <c r="CC4" i="10"/>
  <c r="CC6" i="10"/>
  <c r="CC3" i="10"/>
  <c r="T11" i="8"/>
  <c r="T12" i="8"/>
  <c r="E23" i="15"/>
  <c r="I23" i="15"/>
  <c r="I24" i="15" s="1"/>
  <c r="G23" i="13"/>
  <c r="I23" i="13"/>
  <c r="I24" i="13" s="1"/>
  <c r="E23" i="5"/>
  <c r="E25" i="5" s="1"/>
  <c r="I23" i="5"/>
  <c r="I25" i="5" s="1"/>
  <c r="AC8" i="10"/>
  <c r="AC4" i="10"/>
  <c r="AE3" i="10"/>
  <c r="AC21" i="10"/>
  <c r="AC3" i="10"/>
  <c r="AC2" i="10"/>
  <c r="AC7" i="10"/>
  <c r="AC6" i="10"/>
  <c r="AC5" i="10"/>
  <c r="AC9" i="10"/>
  <c r="AC10" i="10"/>
  <c r="AK2" i="10"/>
  <c r="AI2" i="10"/>
  <c r="AG2" i="10"/>
  <c r="E2" i="10" a="1"/>
  <c r="E2" i="10" s="1"/>
  <c r="B2" i="44" s="1"/>
  <c r="AE5" i="10"/>
  <c r="AK6" i="10"/>
  <c r="AG6" i="10"/>
  <c r="AI6" i="10"/>
  <c r="E6" i="10" a="1"/>
  <c r="E6" i="10" s="1"/>
  <c r="B6" i="44" s="1"/>
  <c r="AE9" i="10"/>
  <c r="AK10" i="10"/>
  <c r="AI10" i="10"/>
  <c r="AG10" i="10"/>
  <c r="E10" i="10" a="1"/>
  <c r="E10" i="10" s="1"/>
  <c r="B10" i="44" s="1"/>
  <c r="AK3" i="10"/>
  <c r="AI3" i="10"/>
  <c r="AG3" i="10"/>
  <c r="AD3" i="10"/>
  <c r="E3" i="10" a="1"/>
  <c r="E3" i="10" s="1"/>
  <c r="B3" i="44" s="1"/>
  <c r="AK21" i="10"/>
  <c r="AI21" i="10"/>
  <c r="AG21" i="10"/>
  <c r="E21" i="10" a="1"/>
  <c r="E21" i="10" s="1"/>
  <c r="B21" i="44" s="1"/>
  <c r="AE6" i="10"/>
  <c r="AK7" i="10"/>
  <c r="AI7" i="10"/>
  <c r="E7" i="10" a="1"/>
  <c r="E7" i="10" s="1"/>
  <c r="B7" i="44" s="1"/>
  <c r="AG7" i="10"/>
  <c r="H2" i="10" a="1"/>
  <c r="H2" i="10" s="1"/>
  <c r="AJ2" i="10" s="1"/>
  <c r="AE2" i="10"/>
  <c r="AE21" i="10"/>
  <c r="F21" i="10" a="1"/>
  <c r="F21" i="10" s="1"/>
  <c r="AE7" i="10"/>
  <c r="AK8" i="10"/>
  <c r="AG8" i="10"/>
  <c r="AI8" i="10"/>
  <c r="E8" i="10" a="1"/>
  <c r="E8" i="10" s="1"/>
  <c r="B8" i="44" s="1"/>
  <c r="AE10" i="10"/>
  <c r="F10" i="10" a="1"/>
  <c r="F10" i="10" s="1"/>
  <c r="G10" i="10" s="1" a="1"/>
  <c r="G10" i="10" s="1"/>
  <c r="AK4" i="10"/>
  <c r="AI4" i="10"/>
  <c r="E4" i="10" a="1"/>
  <c r="E4" i="10" s="1"/>
  <c r="B4" i="44" s="1"/>
  <c r="AG4" i="10"/>
  <c r="AE4" i="10"/>
  <c r="AK5" i="10"/>
  <c r="AI5" i="10"/>
  <c r="E5" i="10" a="1"/>
  <c r="E5" i="10" s="1"/>
  <c r="B5" i="44" s="1"/>
  <c r="AG5" i="10"/>
  <c r="AE8" i="10"/>
  <c r="AK9" i="10"/>
  <c r="AI9" i="10"/>
  <c r="AG9" i="10"/>
  <c r="E9" i="10" a="1"/>
  <c r="E9" i="10" s="1"/>
  <c r="B9" i="44" s="1"/>
  <c r="F3" i="10" a="1"/>
  <c r="F3" i="10" s="1"/>
  <c r="G3" i="10" s="1" a="1"/>
  <c r="G3" i="10" s="1"/>
  <c r="F4" i="10" a="1"/>
  <c r="F4" i="10" s="1"/>
  <c r="G4" i="10" s="1" a="1"/>
  <c r="G4" i="10" s="1"/>
  <c r="F5" i="10" a="1"/>
  <c r="F5" i="10" s="1"/>
  <c r="G5" i="10" s="1" a="1"/>
  <c r="G5" i="10" s="1"/>
  <c r="F6" i="10" a="1"/>
  <c r="F6" i="10" s="1"/>
  <c r="G6" i="10" s="1" a="1"/>
  <c r="G6" i="10" s="1"/>
  <c r="F7" i="10" a="1"/>
  <c r="F7" i="10" s="1"/>
  <c r="G7" i="10" s="1" a="1"/>
  <c r="G7" i="10" s="1"/>
  <c r="F8" i="10" a="1"/>
  <c r="F8" i="10" s="1"/>
  <c r="G8" i="10" s="1" a="1"/>
  <c r="G8" i="10" s="1"/>
  <c r="F9" i="10" a="1"/>
  <c r="F9" i="10" s="1"/>
  <c r="G9" i="10" s="1" a="1"/>
  <c r="G9" i="10" s="1"/>
  <c r="AH2" i="10"/>
  <c r="AH3" i="10"/>
  <c r="AH4" i="10"/>
  <c r="AH5" i="10"/>
  <c r="AH6" i="10"/>
  <c r="AH7" i="10"/>
  <c r="AH8" i="10"/>
  <c r="AH9" i="10"/>
  <c r="AH10" i="10"/>
  <c r="AH21" i="10"/>
  <c r="L8" i="10"/>
  <c r="BY21" i="10"/>
  <c r="P21" i="44" s="1"/>
  <c r="AQ4" i="24"/>
  <c r="AQ8" i="24"/>
  <c r="BV2" i="10"/>
  <c r="BX6" i="10"/>
  <c r="AQ9" i="24"/>
  <c r="AN5" i="24"/>
  <c r="BY4" i="10"/>
  <c r="P4" i="44" s="1"/>
  <c r="L7" i="10"/>
  <c r="BW8" i="10"/>
  <c r="W9" i="10"/>
  <c r="BV10" i="10"/>
  <c r="AR2" i="24"/>
  <c r="AR5" i="24"/>
  <c r="AO6" i="24"/>
  <c r="AO3" i="24"/>
  <c r="BX5" i="10"/>
  <c r="BW7" i="10"/>
  <c r="BY3" i="10"/>
  <c r="P3" i="44" s="1"/>
  <c r="W8" i="10"/>
  <c r="BV9" i="10"/>
  <c r="AQ7" i="24"/>
  <c r="W2" i="10"/>
  <c r="BV3" i="10"/>
  <c r="BY5" i="10"/>
  <c r="P5" i="44" s="1"/>
  <c r="BX7" i="10"/>
  <c r="L9" i="10"/>
  <c r="BW9" i="10"/>
  <c r="W10" i="10"/>
  <c r="BV21" i="10"/>
  <c r="AN2" i="24"/>
  <c r="AR7" i="24"/>
  <c r="AR8" i="24"/>
  <c r="L2" i="10"/>
  <c r="BW2" i="10"/>
  <c r="W3" i="10"/>
  <c r="BV4" i="10"/>
  <c r="BY6" i="10"/>
  <c r="P6" i="44" s="1"/>
  <c r="BX8" i="10"/>
  <c r="L10" i="10"/>
  <c r="BW10" i="10"/>
  <c r="W21" i="10"/>
  <c r="AR4" i="24"/>
  <c r="AO5" i="24"/>
  <c r="AQ6" i="24"/>
  <c r="AR11" i="24"/>
  <c r="L3" i="10"/>
  <c r="BW3" i="10"/>
  <c r="W4" i="10"/>
  <c r="BV5" i="10"/>
  <c r="BY7" i="10"/>
  <c r="P7" i="44" s="1"/>
  <c r="BX9" i="10"/>
  <c r="L21" i="10"/>
  <c r="BW21" i="10"/>
  <c r="AO2" i="24"/>
  <c r="AN4" i="24"/>
  <c r="AN8" i="24"/>
  <c r="AN9" i="24"/>
  <c r="BX2" i="10"/>
  <c r="L4" i="10"/>
  <c r="BW4" i="10"/>
  <c r="W5" i="10"/>
  <c r="BV6" i="10"/>
  <c r="BY8" i="10"/>
  <c r="P8" i="44" s="1"/>
  <c r="BX10" i="10"/>
  <c r="AR6" i="24"/>
  <c r="AO7" i="24"/>
  <c r="AN10" i="24"/>
  <c r="BX3" i="10"/>
  <c r="L5" i="10"/>
  <c r="BW5" i="10"/>
  <c r="W6" i="10"/>
  <c r="BV7" i="10"/>
  <c r="BY9" i="10"/>
  <c r="P9" i="44" s="1"/>
  <c r="BX21" i="10"/>
  <c r="AO4" i="24"/>
  <c r="AQ5" i="24"/>
  <c r="AN6" i="24"/>
  <c r="AO8" i="24"/>
  <c r="AO9" i="24"/>
  <c r="BY2" i="10"/>
  <c r="BX4" i="10"/>
  <c r="L6" i="10"/>
  <c r="BW6" i="10"/>
  <c r="W7" i="10"/>
  <c r="BV8" i="10"/>
  <c r="BY10" i="10"/>
  <c r="P10" i="44" s="1"/>
  <c r="AQ2" i="24"/>
  <c r="AQ10" i="24"/>
  <c r="AR9" i="24"/>
  <c r="AO10" i="24"/>
  <c r="AR10" i="24"/>
  <c r="AO11" i="24"/>
  <c r="J10" i="24" a="1"/>
  <c r="H22" i="8" a="1"/>
  <c r="J50" i="24" a="1"/>
  <c r="I19" i="8" a="1"/>
  <c r="M56" i="24" a="1"/>
  <c r="I23" i="8" a="1"/>
  <c r="BV22" i="10"/>
  <c r="J6" i="24" a="1"/>
  <c r="J5" i="24" a="1"/>
  <c r="K4" i="24" a="1"/>
  <c r="M57" i="24" a="1"/>
  <c r="AQ3" i="24" a="1"/>
  <c r="K3" i="24" a="1"/>
  <c r="BX22" i="10"/>
  <c r="K61" i="24" a="1"/>
  <c r="M55" i="24" a="1"/>
  <c r="K5" i="24" a="1"/>
  <c r="K26" i="24" a="1"/>
  <c r="M33" i="24" a="1"/>
  <c r="BW22" i="10"/>
  <c r="I26" i="8" a="1"/>
  <c r="J20" i="8" a="1"/>
  <c r="BQ2" i="10" a="1"/>
  <c r="H26" i="8" a="1"/>
  <c r="I21" i="8" a="1"/>
  <c r="J26" i="24" a="1"/>
  <c r="M32" i="24" a="1"/>
  <c r="H19" i="8" a="1"/>
  <c r="J4" i="24" a="1"/>
  <c r="J8" i="24" a="1"/>
  <c r="M54" i="24" a="1"/>
  <c r="M18" i="24" a="1"/>
  <c r="CD4" i="10" a="1"/>
  <c r="J41" i="24" a="1"/>
  <c r="K25" i="24" a="1"/>
  <c r="J3" i="24" a="1"/>
  <c r="AU62" i="24"/>
  <c r="K45" i="24" a="1"/>
  <c r="H20" i="8" a="1"/>
  <c r="K9" i="24" a="1"/>
  <c r="J27" i="24" a="1"/>
  <c r="J26" i="8" a="1"/>
  <c r="K50" i="24" a="1"/>
  <c r="J28" i="24" a="1"/>
  <c r="J22" i="24" a="1"/>
  <c r="M58" i="24" a="1"/>
  <c r="J29" i="24" a="1"/>
  <c r="K21" i="24" a="1"/>
  <c r="CD5" i="10" a="1"/>
  <c r="AN3" i="24" a="1"/>
  <c r="J21" i="8" a="1"/>
  <c r="M52" i="24" a="1"/>
  <c r="M14" i="24" a="1"/>
  <c r="M12" i="24" a="1"/>
  <c r="J30" i="24" a="1"/>
  <c r="H25" i="8" a="1"/>
  <c r="K49" i="24" a="1"/>
  <c r="J47" i="24" a="1"/>
  <c r="K42" i="24" a="1"/>
  <c r="L7" i="24" a="1"/>
  <c r="M17" i="24" a="1"/>
  <c r="M15" i="24" a="1"/>
  <c r="AS62" i="24"/>
  <c r="J48" i="24" a="1"/>
  <c r="BY22" i="10"/>
  <c r="H24" i="8" a="1"/>
  <c r="L11" i="24" a="1"/>
  <c r="M34" i="24" a="1"/>
  <c r="M13" i="24" a="1"/>
  <c r="F27" i="8" a="1"/>
  <c r="K22" i="24" a="1"/>
  <c r="J19" i="8" a="1"/>
  <c r="J31" i="24" a="1"/>
  <c r="J46" i="24" a="1"/>
  <c r="K24" i="24" a="1"/>
  <c r="J61" i="24" a="1"/>
  <c r="J24" i="24" a="1"/>
  <c r="J18" i="8" a="1"/>
  <c r="K11" i="24" a="1"/>
  <c r="K6" i="24" a="1"/>
  <c r="K8" i="24" a="1"/>
  <c r="J2" i="24" a="1"/>
  <c r="CD3" i="10" a="1"/>
  <c r="AR3" i="24" a="1"/>
  <c r="J23" i="8" a="1"/>
  <c r="K47" i="24" a="1"/>
  <c r="I24" i="8" a="1"/>
  <c r="K46" i="24" a="1"/>
  <c r="J21" i="24" a="1"/>
  <c r="M20" i="24" a="1"/>
  <c r="J45" i="24" a="1"/>
  <c r="J25" i="8" a="1"/>
  <c r="K30" i="24" a="1"/>
  <c r="AT62" i="24"/>
  <c r="H18" i="8" a="1"/>
  <c r="H23" i="8" a="1"/>
  <c r="M39" i="24" a="1"/>
  <c r="J23" i="24" a="1"/>
  <c r="I25" i="8" a="1"/>
  <c r="J42" i="24" a="1"/>
  <c r="J9" i="24" a="1"/>
  <c r="M59" i="24" a="1"/>
  <c r="K29" i="24" a="1"/>
  <c r="J7" i="24" a="1"/>
  <c r="K31" i="24" a="1"/>
  <c r="M36" i="24" a="1"/>
  <c r="I18" i="8" a="1"/>
  <c r="J49" i="24" a="1"/>
  <c r="K27" i="24" a="1"/>
  <c r="K28" i="24" a="1"/>
  <c r="I20" i="8" a="1"/>
  <c r="CD21" i="10" a="1"/>
  <c r="M38" i="24" a="1"/>
  <c r="AO62" i="24"/>
  <c r="K48" i="24" a="1"/>
  <c r="M40" i="24" a="1"/>
  <c r="I22" i="8" a="1"/>
  <c r="J25" i="24" a="1"/>
  <c r="K43" i="24" a="1"/>
  <c r="K41" i="24" a="1"/>
  <c r="M53" i="24" a="1"/>
  <c r="H21" i="8" a="1"/>
  <c r="D13" i="8" a="1"/>
  <c r="AN11" i="24" a="1"/>
  <c r="J22" i="8" a="1"/>
  <c r="K23" i="24" a="1"/>
  <c r="K44" i="24" a="1"/>
  <c r="J11" i="24" a="1"/>
  <c r="M37" i="24" a="1"/>
  <c r="K10" i="24" a="1"/>
  <c r="CD8" i="10" a="1"/>
  <c r="M60" i="24" a="1"/>
  <c r="D27" i="8" a="1"/>
  <c r="K2" i="24" a="1"/>
  <c r="K51" i="24" a="1"/>
  <c r="D17" i="8" a="1"/>
  <c r="CD6" i="10" a="1"/>
  <c r="CD9" i="10" a="1"/>
  <c r="M16" i="24" a="1"/>
  <c r="CD10" i="10" a="1"/>
  <c r="K7" i="24" a="1"/>
  <c r="J43" i="24" a="1"/>
  <c r="M19" i="24" a="1"/>
  <c r="AQ11" i="24" a="1"/>
  <c r="M35" i="24" a="1"/>
  <c r="CD7" i="10" a="1"/>
  <c r="J44" i="24" a="1"/>
  <c r="J24" i="8" a="1"/>
  <c r="AN7" i="24" a="1"/>
  <c r="J51" i="24" a="1"/>
  <c r="I76" i="23" l="1" a="1"/>
  <c r="I76" i="23" s="1"/>
  <c r="G76" i="23" a="1"/>
  <c r="G76" i="23" s="1"/>
  <c r="E76" i="23" a="1"/>
  <c r="E76" i="23" s="1"/>
  <c r="M33" i="24"/>
  <c r="M17" i="24"/>
  <c r="M37" i="24"/>
  <c r="M53" i="24"/>
  <c r="M52" i="24"/>
  <c r="M36" i="24"/>
  <c r="M12" i="24"/>
  <c r="M32" i="24"/>
  <c r="M57" i="24"/>
  <c r="M56" i="24"/>
  <c r="M16" i="24"/>
  <c r="M34" i="24"/>
  <c r="M54" i="24"/>
  <c r="M40" i="24"/>
  <c r="M55" i="24"/>
  <c r="M14" i="24"/>
  <c r="M19" i="24"/>
  <c r="M39" i="24"/>
  <c r="M58" i="24"/>
  <c r="M20" i="24"/>
  <c r="M59" i="24"/>
  <c r="M60" i="24"/>
  <c r="M38" i="24"/>
  <c r="M13" i="24"/>
  <c r="M15" i="24"/>
  <c r="M18" i="24"/>
  <c r="M35" i="24"/>
  <c r="AY10" i="10" a="1"/>
  <c r="AY10" i="10" s="1"/>
  <c r="AY8" i="10" a="1"/>
  <c r="AY8" i="10" s="1"/>
  <c r="AY21" i="10" a="1"/>
  <c r="AY21" i="10" s="1"/>
  <c r="AY7" i="10" a="1"/>
  <c r="AY7" i="10" s="1"/>
  <c r="AY6" i="10" a="1"/>
  <c r="AY6" i="10" s="1"/>
  <c r="AY4" i="10" a="1"/>
  <c r="AY4" i="10" s="1"/>
  <c r="AY3" i="10" a="1"/>
  <c r="AY3" i="10" s="1"/>
  <c r="AY5" i="10" a="1"/>
  <c r="AY5" i="10" s="1"/>
  <c r="AY9" i="10" a="1"/>
  <c r="AY9" i="10" s="1"/>
  <c r="G75" i="22" a="1"/>
  <c r="G75" i="22" s="1"/>
  <c r="E75" i="22" a="1"/>
  <c r="E75" i="22" s="1"/>
  <c r="E76" i="22" s="1" a="1"/>
  <c r="E76" i="22" s="1"/>
  <c r="I75" i="22" a="1"/>
  <c r="I75" i="22" s="1"/>
  <c r="G75" i="20" a="1"/>
  <c r="G75" i="20" s="1"/>
  <c r="I75" i="20" a="1"/>
  <c r="I75" i="20" s="1"/>
  <c r="E75" i="20" a="1"/>
  <c r="E75" i="20" s="1"/>
  <c r="G75" i="21" a="1"/>
  <c r="G75" i="21" s="1"/>
  <c r="E75" i="21" a="1"/>
  <c r="E75" i="21" s="1"/>
  <c r="I75" i="21" a="1"/>
  <c r="I75" i="21" s="1"/>
  <c r="I75" i="13" a="1"/>
  <c r="I75" i="13" s="1"/>
  <c r="E75" i="13" a="1"/>
  <c r="E75" i="13" s="1"/>
  <c r="G75" i="13" a="1"/>
  <c r="G75" i="13" s="1"/>
  <c r="I75" i="16" a="1"/>
  <c r="I75" i="16" s="1"/>
  <c r="G75" i="16" a="1"/>
  <c r="G75" i="16" s="1"/>
  <c r="E75" i="16" a="1"/>
  <c r="E75" i="16" s="1"/>
  <c r="I75" i="15" a="1"/>
  <c r="I75" i="15" s="1"/>
  <c r="G75" i="15" a="1"/>
  <c r="G75" i="15" s="1"/>
  <c r="E75" i="15" a="1"/>
  <c r="E75" i="15" s="1"/>
  <c r="E75" i="19" a="1"/>
  <c r="E75" i="19" s="1"/>
  <c r="I75" i="19" a="1"/>
  <c r="I75" i="19" s="1"/>
  <c r="G75" i="19" a="1"/>
  <c r="G75" i="19" s="1"/>
  <c r="E75" i="18" a="1"/>
  <c r="E75" i="18" s="1"/>
  <c r="I75" i="18" a="1"/>
  <c r="I75" i="18" s="1"/>
  <c r="G75" i="18" a="1"/>
  <c r="G75" i="18" s="1"/>
  <c r="G2" i="10" a="1"/>
  <c r="G2" i="10" s="1"/>
  <c r="P2" i="44"/>
  <c r="AL21" i="10"/>
  <c r="E9" i="39" s="1"/>
  <c r="M2" i="10"/>
  <c r="N2" i="10"/>
  <c r="C8" i="8"/>
  <c r="K42" i="24"/>
  <c r="K22" i="24"/>
  <c r="K2" i="24"/>
  <c r="AJ22" i="10"/>
  <c r="W22" i="10"/>
  <c r="Y22" i="10"/>
  <c r="H8" i="44"/>
  <c r="E8" i="44"/>
  <c r="G8" i="44"/>
  <c r="C8" i="44"/>
  <c r="D8" i="44"/>
  <c r="F8" i="44"/>
  <c r="H10" i="44"/>
  <c r="E10" i="44"/>
  <c r="G10" i="44"/>
  <c r="D10" i="44"/>
  <c r="F10" i="44"/>
  <c r="C10" i="44"/>
  <c r="C9" i="44"/>
  <c r="H9" i="44"/>
  <c r="G9" i="44"/>
  <c r="E9" i="44"/>
  <c r="F9" i="44"/>
  <c r="D9" i="44"/>
  <c r="E7" i="44"/>
  <c r="D7" i="44"/>
  <c r="G7" i="44"/>
  <c r="C7" i="44"/>
  <c r="F7" i="44"/>
  <c r="H7" i="44"/>
  <c r="G4" i="44"/>
  <c r="F4" i="44"/>
  <c r="E4" i="44"/>
  <c r="C4" i="44"/>
  <c r="D4" i="44"/>
  <c r="H4" i="44"/>
  <c r="F3" i="44"/>
  <c r="G3" i="44"/>
  <c r="D3" i="44"/>
  <c r="C3" i="44"/>
  <c r="H3" i="44"/>
  <c r="E3" i="44"/>
  <c r="E2" i="44"/>
  <c r="F2" i="44"/>
  <c r="G2" i="44"/>
  <c r="H2" i="44"/>
  <c r="D2" i="44"/>
  <c r="C2" i="44"/>
  <c r="F5" i="44"/>
  <c r="H5" i="44"/>
  <c r="C5" i="44"/>
  <c r="E5" i="44"/>
  <c r="D5" i="44"/>
  <c r="G5" i="44"/>
  <c r="D21" i="44"/>
  <c r="H21" i="44"/>
  <c r="C21" i="44"/>
  <c r="F21" i="44"/>
  <c r="E21" i="44"/>
  <c r="G21" i="44"/>
  <c r="F6" i="44"/>
  <c r="C6" i="44"/>
  <c r="G6" i="44"/>
  <c r="D6" i="44"/>
  <c r="H6" i="44"/>
  <c r="E6" i="44"/>
  <c r="O9" i="44"/>
  <c r="O4" i="44"/>
  <c r="O8" i="44"/>
  <c r="O6" i="44"/>
  <c r="O3" i="44"/>
  <c r="O2" i="44"/>
  <c r="O5" i="44"/>
  <c r="O21" i="44"/>
  <c r="O10" i="44"/>
  <c r="O7" i="44"/>
  <c r="N6" i="44"/>
  <c r="N10" i="44"/>
  <c r="N5" i="44"/>
  <c r="N4" i="44"/>
  <c r="N3" i="44"/>
  <c r="N2" i="44"/>
  <c r="N7" i="44"/>
  <c r="N21" i="44"/>
  <c r="N8" i="44"/>
  <c r="N9" i="44"/>
  <c r="M6" i="44"/>
  <c r="M4" i="44"/>
  <c r="M7" i="44"/>
  <c r="M3" i="44"/>
  <c r="M10" i="44"/>
  <c r="M9" i="44"/>
  <c r="M5" i="44"/>
  <c r="M2" i="44"/>
  <c r="M21" i="44"/>
  <c r="M8" i="44"/>
  <c r="AB22" i="10"/>
  <c r="AD22" i="10"/>
  <c r="AH22" i="10"/>
  <c r="AG22" i="10"/>
  <c r="AC22" i="10"/>
  <c r="AI22" i="10"/>
  <c r="AE22" i="10"/>
  <c r="AK22" i="10"/>
  <c r="AR3" i="10" a="1"/>
  <c r="AR3" i="10" s="1"/>
  <c r="AR7" i="10" a="1"/>
  <c r="AR7" i="10" s="1"/>
  <c r="AR11" i="10" a="1"/>
  <c r="AR11" i="10" s="1"/>
  <c r="AR15" i="10" a="1"/>
  <c r="AR15" i="10" s="1"/>
  <c r="AR19" i="10" a="1"/>
  <c r="AR19" i="10" s="1"/>
  <c r="AR8" i="10" a="1"/>
  <c r="AR8" i="10" s="1"/>
  <c r="AR16" i="10" a="1"/>
  <c r="AR16" i="10" s="1"/>
  <c r="AR9" i="10" a="1"/>
  <c r="AR9" i="10" s="1"/>
  <c r="AR17" i="10" a="1"/>
  <c r="AR17" i="10" s="1"/>
  <c r="AR4" i="10" a="1"/>
  <c r="AR4" i="10" s="1"/>
  <c r="AR12" i="10" a="1"/>
  <c r="AR12" i="10" s="1"/>
  <c r="AR20" i="10" a="1"/>
  <c r="AR20" i="10" s="1"/>
  <c r="AR5" i="10" a="1"/>
  <c r="AR5" i="10" s="1"/>
  <c r="AR13" i="10" a="1"/>
  <c r="AR13" i="10" s="1"/>
  <c r="AR2" i="10" a="1"/>
  <c r="AR2" i="10" s="1"/>
  <c r="AR6" i="10" a="1"/>
  <c r="AR6" i="10" s="1"/>
  <c r="AR10" i="10" a="1"/>
  <c r="AR10" i="10" s="1"/>
  <c r="AR14" i="10" a="1"/>
  <c r="AR14" i="10" s="1"/>
  <c r="AR18" i="10" a="1"/>
  <c r="AR18" i="10" s="1"/>
  <c r="AR21" i="10" a="1"/>
  <c r="AR21" i="10" s="1"/>
  <c r="CD10" i="10"/>
  <c r="CD7" i="10"/>
  <c r="CD9" i="10"/>
  <c r="CD4" i="10"/>
  <c r="CD3" i="10"/>
  <c r="C6" i="42"/>
  <c r="C5" i="42"/>
  <c r="BQ2" i="10"/>
  <c r="B6" i="18"/>
  <c r="B6" i="20"/>
  <c r="B6" i="16"/>
  <c r="B6" i="39"/>
  <c r="E76" i="39" s="1" a="1"/>
  <c r="E76" i="39" s="1"/>
  <c r="B6" i="21"/>
  <c r="B6" i="19"/>
  <c r="B6" i="15"/>
  <c r="B6" i="22"/>
  <c r="B6" i="13"/>
  <c r="G25" i="20"/>
  <c r="G74" i="20" s="1"/>
  <c r="E24" i="18"/>
  <c r="E25" i="18" s="1"/>
  <c r="I25" i="21"/>
  <c r="I74" i="21" s="1"/>
  <c r="I24" i="19"/>
  <c r="I25" i="19" s="1"/>
  <c r="E24" i="21"/>
  <c r="E25" i="21" s="1"/>
  <c r="E74" i="21" s="1"/>
  <c r="G24" i="22"/>
  <c r="G25" i="22" s="1"/>
  <c r="G74" i="22" s="1"/>
  <c r="I24" i="22"/>
  <c r="I25" i="22" s="1"/>
  <c r="I74" i="22" s="1"/>
  <c r="E24" i="20"/>
  <c r="E25" i="20" s="1"/>
  <c r="E74" i="20" s="1"/>
  <c r="E24" i="16"/>
  <c r="G24" i="21"/>
  <c r="G25" i="21" s="1"/>
  <c r="I24" i="18"/>
  <c r="I25" i="18" s="1"/>
  <c r="I74" i="18" s="1"/>
  <c r="I24" i="16"/>
  <c r="I25" i="16" s="1"/>
  <c r="I74" i="16" s="1"/>
  <c r="E24" i="22"/>
  <c r="E25" i="22" s="1"/>
  <c r="E74" i="22" s="1"/>
  <c r="G24" i="16"/>
  <c r="G25" i="16" s="1"/>
  <c r="G74" i="16" s="1"/>
  <c r="G24" i="18"/>
  <c r="G25" i="18" s="1"/>
  <c r="G74" i="18" s="1"/>
  <c r="G24" i="19"/>
  <c r="G25" i="19" s="1"/>
  <c r="G74" i="19" s="1"/>
  <c r="E24" i="13"/>
  <c r="E25" i="13" s="1"/>
  <c r="G24" i="13"/>
  <c r="G25" i="13" s="1"/>
  <c r="G74" i="13" s="1"/>
  <c r="B5" i="13"/>
  <c r="B5" i="15"/>
  <c r="B5" i="22"/>
  <c r="B5" i="5"/>
  <c r="B5" i="18"/>
  <c r="B5" i="16"/>
  <c r="A1" i="16" s="1" a="1"/>
  <c r="A1" i="16" s="1"/>
  <c r="B5" i="39"/>
  <c r="A1" i="39" s="1" a="1"/>
  <c r="A1" i="39" s="1"/>
  <c r="B5" i="19"/>
  <c r="B5" i="21"/>
  <c r="B5" i="20"/>
  <c r="I26" i="8"/>
  <c r="I25" i="8"/>
  <c r="H23" i="8"/>
  <c r="AH32" i="24"/>
  <c r="AI32" i="24" s="1"/>
  <c r="I18" i="8"/>
  <c r="I24" i="8"/>
  <c r="J25" i="8"/>
  <c r="AH13" i="24"/>
  <c r="AI13" i="24" s="1"/>
  <c r="H19" i="8"/>
  <c r="J24" i="8"/>
  <c r="J26" i="8"/>
  <c r="J22" i="8"/>
  <c r="I23" i="8"/>
  <c r="H22" i="8"/>
  <c r="AH54" i="24"/>
  <c r="AI54" i="24" s="1"/>
  <c r="J20" i="8"/>
  <c r="J19" i="8"/>
  <c r="AH53" i="24"/>
  <c r="AI53" i="24" s="1"/>
  <c r="AH33" i="24"/>
  <c r="AI33" i="24" s="1"/>
  <c r="I19" i="8"/>
  <c r="AH52" i="24"/>
  <c r="AI52" i="24" s="1"/>
  <c r="AH12" i="24"/>
  <c r="AI12" i="24" s="1"/>
  <c r="H18" i="8"/>
  <c r="H26" i="8"/>
  <c r="AH35" i="24"/>
  <c r="AI35" i="24" s="1"/>
  <c r="I21" i="8"/>
  <c r="H24" i="8"/>
  <c r="AH14" i="24"/>
  <c r="AI14" i="24" s="1"/>
  <c r="H20" i="8"/>
  <c r="J21" i="8"/>
  <c r="I22" i="8"/>
  <c r="H25" i="8"/>
  <c r="AH55" i="24"/>
  <c r="AI55" i="24" s="1"/>
  <c r="AH15" i="24"/>
  <c r="AI15" i="24" s="1"/>
  <c r="H21" i="8"/>
  <c r="J18" i="8"/>
  <c r="AH34" i="24"/>
  <c r="AI34" i="24" s="1"/>
  <c r="I20" i="8"/>
  <c r="J23" i="8"/>
  <c r="J76" i="35"/>
  <c r="J76" i="31"/>
  <c r="J76" i="34"/>
  <c r="J76" i="30"/>
  <c r="J76" i="38"/>
  <c r="J76" i="36"/>
  <c r="J76" i="32"/>
  <c r="J76" i="37"/>
  <c r="J76" i="33"/>
  <c r="AV28" i="24"/>
  <c r="AV5" i="24"/>
  <c r="AV6" i="24"/>
  <c r="AV51" i="24"/>
  <c r="AV46" i="24"/>
  <c r="AM46" i="24" s="1" a="1"/>
  <c r="AM46" i="24" s="1"/>
  <c r="AV48" i="24"/>
  <c r="AV10" i="24"/>
  <c r="AM10" i="24" s="1" a="1"/>
  <c r="AM10" i="24" s="1"/>
  <c r="AV8" i="24"/>
  <c r="AV50" i="24"/>
  <c r="AM50" i="24" s="1" a="1"/>
  <c r="AM50" i="24" s="1"/>
  <c r="AV4" i="24"/>
  <c r="AV9" i="24"/>
  <c r="AV47" i="24"/>
  <c r="AM47" i="24" s="1" a="1"/>
  <c r="AM47" i="24" s="1"/>
  <c r="AV30" i="24"/>
  <c r="AM30" i="24" s="1" a="1"/>
  <c r="AM30" i="24" s="1"/>
  <c r="AV43" i="24"/>
  <c r="AV44" i="24"/>
  <c r="AV26" i="24"/>
  <c r="AV29" i="24"/>
  <c r="AM29" i="24" s="1" a="1"/>
  <c r="AM29" i="24" s="1"/>
  <c r="AV24" i="24"/>
  <c r="AV25" i="24"/>
  <c r="I74" i="23"/>
  <c r="D17" i="8"/>
  <c r="K21" i="24"/>
  <c r="K61" i="24"/>
  <c r="K41" i="24"/>
  <c r="J41" i="24"/>
  <c r="J21" i="24"/>
  <c r="J61" i="24"/>
  <c r="G74" i="23"/>
  <c r="G74" i="5"/>
  <c r="G25" i="15"/>
  <c r="G74" i="15" s="1"/>
  <c r="I25" i="20"/>
  <c r="I74" i="20" s="1"/>
  <c r="I74" i="5"/>
  <c r="E74" i="5"/>
  <c r="F27" i="8"/>
  <c r="AV7" i="24"/>
  <c r="AM7" i="24" s="1" a="1"/>
  <c r="AM7" i="24" s="1"/>
  <c r="AR3" i="24"/>
  <c r="AQ3" i="24"/>
  <c r="AQ11" i="24"/>
  <c r="AV27" i="24"/>
  <c r="AM27" i="24" s="1" a="1"/>
  <c r="AM27" i="24" s="1"/>
  <c r="AN7" i="24"/>
  <c r="AN3" i="24"/>
  <c r="AV23" i="24"/>
  <c r="AV49" i="24"/>
  <c r="AM49" i="24" s="1" a="1"/>
  <c r="AM49" i="24" s="1"/>
  <c r="AN11" i="24"/>
  <c r="E24" i="15"/>
  <c r="E25" i="15" s="1"/>
  <c r="E74" i="15" s="1"/>
  <c r="CD8" i="10"/>
  <c r="CD21" i="10"/>
  <c r="AL3" i="10"/>
  <c r="AL10" i="10"/>
  <c r="AL2" i="10"/>
  <c r="AL9" i="10"/>
  <c r="AL8" i="10"/>
  <c r="AL7" i="10"/>
  <c r="AL6" i="10"/>
  <c r="AL5" i="10"/>
  <c r="AL4" i="10"/>
  <c r="D27" i="8"/>
  <c r="L11" i="24"/>
  <c r="L7" i="24"/>
  <c r="D13" i="8"/>
  <c r="K31" i="24"/>
  <c r="K11" i="24"/>
  <c r="K51" i="24"/>
  <c r="J10" i="24"/>
  <c r="J30" i="24"/>
  <c r="J50" i="24"/>
  <c r="J8" i="24"/>
  <c r="J28" i="24"/>
  <c r="J48" i="24"/>
  <c r="J11" i="24"/>
  <c r="J31" i="24"/>
  <c r="J51" i="24"/>
  <c r="K46" i="24"/>
  <c r="K6" i="24"/>
  <c r="K26" i="24"/>
  <c r="J42" i="24"/>
  <c r="J22" i="24"/>
  <c r="J2" i="24"/>
  <c r="K9" i="24"/>
  <c r="K29" i="24"/>
  <c r="K49" i="24"/>
  <c r="K30" i="24"/>
  <c r="K50" i="24"/>
  <c r="K10" i="24"/>
  <c r="K47" i="24"/>
  <c r="K7" i="24"/>
  <c r="K27" i="24"/>
  <c r="K45" i="24"/>
  <c r="K5" i="24"/>
  <c r="K25" i="24"/>
  <c r="J44" i="24"/>
  <c r="J24" i="24"/>
  <c r="J4" i="24"/>
  <c r="K4" i="24"/>
  <c r="K44" i="24"/>
  <c r="K24" i="24"/>
  <c r="J27" i="24"/>
  <c r="J7" i="24"/>
  <c r="J47" i="24"/>
  <c r="J6" i="24"/>
  <c r="J26" i="24"/>
  <c r="J46" i="24"/>
  <c r="K48" i="24"/>
  <c r="K28" i="24"/>
  <c r="K8" i="24"/>
  <c r="K23" i="24"/>
  <c r="K43" i="24"/>
  <c r="K3" i="24"/>
  <c r="J25" i="24"/>
  <c r="J45" i="24"/>
  <c r="J5" i="24"/>
  <c r="J9" i="24"/>
  <c r="J49" i="24"/>
  <c r="J29" i="24"/>
  <c r="J3" i="24"/>
  <c r="J23" i="24"/>
  <c r="J43" i="24"/>
  <c r="CD6" i="10"/>
  <c r="CD5" i="10"/>
  <c r="I25" i="15"/>
  <c r="I74" i="15" s="1"/>
  <c r="I25" i="13"/>
  <c r="I74" i="13" s="1"/>
  <c r="B9" i="8"/>
  <c r="C10" i="8"/>
  <c r="N4" i="10"/>
  <c r="M4" i="10"/>
  <c r="B27" i="8"/>
  <c r="C9" i="8"/>
  <c r="N3" i="10"/>
  <c r="M3" i="10"/>
  <c r="C16" i="8"/>
  <c r="M10" i="10"/>
  <c r="N10" i="10"/>
  <c r="B13" i="8"/>
  <c r="B12" i="8"/>
  <c r="B8" i="8"/>
  <c r="C11" i="8"/>
  <c r="N5" i="10"/>
  <c r="M5" i="10"/>
  <c r="B16" i="8"/>
  <c r="C15" i="8"/>
  <c r="N9" i="10"/>
  <c r="M9" i="10"/>
  <c r="B15" i="8"/>
  <c r="C14" i="8"/>
  <c r="N8" i="10"/>
  <c r="M8" i="10"/>
  <c r="B11" i="8"/>
  <c r="B10" i="8"/>
  <c r="B14" i="8"/>
  <c r="C27" i="8"/>
  <c r="M21" i="10"/>
  <c r="N21" i="10"/>
  <c r="C13" i="8"/>
  <c r="N7" i="10"/>
  <c r="M7" i="10"/>
  <c r="C12" i="8"/>
  <c r="N6" i="10"/>
  <c r="M6" i="10"/>
  <c r="A1" i="23" a="1"/>
  <c r="A1" i="23" s="1"/>
  <c r="E6" i="24" a="1"/>
  <c r="F21" i="24" a="1"/>
  <c r="BR19" i="10" a="1"/>
  <c r="L8" i="24" a="1"/>
  <c r="E17" i="8" a="1"/>
  <c r="E13" i="8" a="1"/>
  <c r="BQ22" i="10"/>
  <c r="L4" i="24" a="1"/>
  <c r="K24" i="8" a="1"/>
  <c r="D14" i="8" a="1"/>
  <c r="D10" i="8" a="1"/>
  <c r="E42" i="24" a="1"/>
  <c r="BR12" i="10" a="1"/>
  <c r="L48" i="24" a="1"/>
  <c r="BR18" i="10" a="1"/>
  <c r="F45" i="24" a="1"/>
  <c r="F14" i="8" a="1"/>
  <c r="E50" i="24" a="1"/>
  <c r="F22" i="24" a="1"/>
  <c r="F27" i="24" a="1"/>
  <c r="E61" i="24" a="1"/>
  <c r="BR13" i="10" a="1"/>
  <c r="F25" i="24" a="1"/>
  <c r="F44" i="24" a="1"/>
  <c r="E21" i="24" a="1"/>
  <c r="BR14" i="10" a="1"/>
  <c r="L49" i="24" a="1"/>
  <c r="E48" i="24" a="1"/>
  <c r="K22" i="8" a="1"/>
  <c r="BR16" i="10" a="1"/>
  <c r="AQ62" i="24"/>
  <c r="L42" i="24" a="1"/>
  <c r="E41" i="24" a="1"/>
  <c r="E31" i="24" a="1"/>
  <c r="E51" i="24" a="1"/>
  <c r="E27" i="8" a="1"/>
  <c r="BT18" i="10" a="1"/>
  <c r="F31" i="24" a="1"/>
  <c r="F15" i="8" a="1"/>
  <c r="L43" i="24" a="1"/>
  <c r="BS12" i="10" a="1"/>
  <c r="F48" i="24" a="1"/>
  <c r="BS13" i="10" a="1"/>
  <c r="BS18" i="10" a="1"/>
  <c r="L31" i="24" a="1"/>
  <c r="BR17" i="10" a="1"/>
  <c r="L45" i="24" a="1"/>
  <c r="L44" i="24" a="1"/>
  <c r="L30" i="24" a="1"/>
  <c r="F46" i="24" a="1"/>
  <c r="K19" i="8" a="1"/>
  <c r="E47" i="24" a="1"/>
  <c r="D15" i="8" a="1"/>
  <c r="E9" i="24" a="1"/>
  <c r="E45" i="24" a="1"/>
  <c r="E46" i="24" a="1"/>
  <c r="E49" i="24" a="1"/>
  <c r="K26" i="8" a="1"/>
  <c r="F10" i="24" a="1"/>
  <c r="L2" i="24" a="1"/>
  <c r="E26" i="24" a="1"/>
  <c r="L51" i="24" a="1"/>
  <c r="F61" i="24" a="1"/>
  <c r="F12" i="8" a="1"/>
  <c r="E14" i="8" a="1"/>
  <c r="E7" i="24" a="1"/>
  <c r="F11" i="24" a="1"/>
  <c r="F10" i="8" a="1"/>
  <c r="E44" i="24" a="1"/>
  <c r="BM7" i="10" a="1"/>
  <c r="F49" i="24" a="1"/>
  <c r="D16" i="8" a="1"/>
  <c r="BS20" i="10" a="1"/>
  <c r="F23" i="24" a="1"/>
  <c r="E3" i="24" a="1"/>
  <c r="L50" i="24" a="1"/>
  <c r="E22" i="24" a="1"/>
  <c r="F17" i="8" a="1"/>
  <c r="F16" i="8" a="1"/>
  <c r="L23" i="24" a="1"/>
  <c r="F8" i="8" a="1"/>
  <c r="K20" i="8" a="1"/>
  <c r="F7" i="24" a="1"/>
  <c r="F42" i="24" a="1"/>
  <c r="L22" i="24" a="1"/>
  <c r="F50" i="24" a="1"/>
  <c r="E24" i="24" a="1"/>
  <c r="L28" i="24" a="1"/>
  <c r="E8" i="8" a="1"/>
  <c r="BT20" i="10" a="1"/>
  <c r="BT19" i="10" a="1"/>
  <c r="BR15" i="10" a="1"/>
  <c r="F29" i="24" a="1"/>
  <c r="L10" i="24" a="1"/>
  <c r="E10" i="24" a="1"/>
  <c r="E8" i="24" a="1"/>
  <c r="F3" i="24" a="1"/>
  <c r="E2" i="24" a="1"/>
  <c r="L25" i="24" a="1"/>
  <c r="F43" i="24" a="1"/>
  <c r="E10" i="8" a="1"/>
  <c r="E5" i="24" a="1"/>
  <c r="F9" i="8" a="1"/>
  <c r="BS15" i="10" a="1"/>
  <c r="BS14" i="10" a="1"/>
  <c r="BT17" i="10" a="1"/>
  <c r="E23" i="24" a="1"/>
  <c r="F5" i="24" a="1"/>
  <c r="E29" i="24" a="1"/>
  <c r="F47" i="24" a="1"/>
  <c r="BS19" i="10" a="1"/>
  <c r="G27" i="8" a="1"/>
  <c r="BS16" i="10" a="1"/>
  <c r="K21" i="8" a="1"/>
  <c r="BR20" i="10" a="1"/>
  <c r="BO21" i="10" a="1"/>
  <c r="L26" i="24" a="1"/>
  <c r="F24" i="24" a="1"/>
  <c r="E4" i="24" a="1"/>
  <c r="D8" i="8" a="1"/>
  <c r="L24" i="24" a="1"/>
  <c r="AR62" i="24"/>
  <c r="F8" i="24" a="1"/>
  <c r="F4" i="24" a="1"/>
  <c r="E28" i="24" a="1"/>
  <c r="K18" i="8" a="1"/>
  <c r="BT14" i="10" a="1"/>
  <c r="E12" i="8" a="1"/>
  <c r="F26" i="24" a="1"/>
  <c r="F2" i="24" a="1"/>
  <c r="F28" i="24" a="1"/>
  <c r="BS17" i="10" a="1"/>
  <c r="BT16" i="10" a="1"/>
  <c r="BT13" i="10" a="1"/>
  <c r="E11" i="24" a="1"/>
  <c r="BT12" i="10" a="1"/>
  <c r="AN62" i="24"/>
  <c r="E43" i="24" a="1"/>
  <c r="BT15" i="10" a="1"/>
  <c r="E27" i="24" a="1"/>
  <c r="F41" i="24" a="1"/>
  <c r="L46" i="24" a="1"/>
  <c r="E11" i="8" a="1"/>
  <c r="F9" i="24" a="1"/>
  <c r="F11" i="8" a="1"/>
  <c r="E25" i="24" a="1"/>
  <c r="E30" i="24" a="1"/>
  <c r="L9" i="24" a="1"/>
  <c r="L27" i="24" a="1"/>
  <c r="E9" i="8" a="1"/>
  <c r="F51" i="24" a="1"/>
  <c r="F6" i="24" a="1"/>
  <c r="BM21" i="10" a="1"/>
  <c r="F30" i="24" a="1"/>
  <c r="K23" i="8" a="1"/>
  <c r="K25" i="8" a="1"/>
  <c r="BM11" i="10" a="1"/>
  <c r="E16" i="8" a="1"/>
  <c r="I76" i="15" l="1" a="1"/>
  <c r="I76" i="15" s="1"/>
  <c r="I76" i="22" a="1"/>
  <c r="I76" i="22" s="1"/>
  <c r="I76" i="20" a="1"/>
  <c r="I76" i="20" s="1"/>
  <c r="I76" i="19" a="1"/>
  <c r="I76" i="19" s="1"/>
  <c r="G76" i="18" a="1"/>
  <c r="G76" i="18" s="1"/>
  <c r="I76" i="18" a="1"/>
  <c r="I76" i="18" s="1"/>
  <c r="G76" i="20" a="1"/>
  <c r="G76" i="20" s="1"/>
  <c r="E76" i="16" a="1"/>
  <c r="E76" i="16" s="1"/>
  <c r="G76" i="16" a="1"/>
  <c r="G76" i="16" s="1"/>
  <c r="I76" i="16" a="1"/>
  <c r="I76" i="16" s="1"/>
  <c r="I76" i="39" a="1"/>
  <c r="I76" i="39" s="1"/>
  <c r="G76" i="13" a="1"/>
  <c r="G76" i="13" s="1"/>
  <c r="I76" i="13" a="1"/>
  <c r="I76" i="13" s="1"/>
  <c r="I76" i="21" a="1"/>
  <c r="I76" i="21" s="1"/>
  <c r="G76" i="21" a="1"/>
  <c r="G76" i="21" s="1"/>
  <c r="G76" i="39" a="1"/>
  <c r="G76" i="39" s="1"/>
  <c r="G76" i="22" a="1"/>
  <c r="G76" i="22" s="1"/>
  <c r="E76" i="18" a="1"/>
  <c r="E76" i="18" s="1"/>
  <c r="G76" i="19" a="1"/>
  <c r="G76" i="19" s="1"/>
  <c r="E76" i="19" a="1"/>
  <c r="E76" i="19" s="1"/>
  <c r="E76" i="15" a="1"/>
  <c r="E76" i="15" s="1"/>
  <c r="G76" i="15" a="1"/>
  <c r="G76" i="15" s="1"/>
  <c r="E76" i="21" a="1"/>
  <c r="E76" i="21" s="1"/>
  <c r="E76" i="20" a="1"/>
  <c r="E76" i="20" s="1"/>
  <c r="AN3" i="10" a="1"/>
  <c r="AN3" i="10" s="1"/>
  <c r="AO3" i="10" a="1"/>
  <c r="AO3" i="10" s="1"/>
  <c r="AN21" i="10" a="1"/>
  <c r="AN21" i="10" s="1"/>
  <c r="AO21" i="10" a="1"/>
  <c r="AO21" i="10" s="1"/>
  <c r="AN2" i="10" a="1"/>
  <c r="AN2" i="10" s="1"/>
  <c r="AO2" i="10" a="1"/>
  <c r="AO2" i="10" s="1"/>
  <c r="AO9" i="10" a="1"/>
  <c r="AO9" i="10" s="1"/>
  <c r="AN9" i="10" a="1"/>
  <c r="AN9" i="10" s="1"/>
  <c r="AN4" i="10" a="1"/>
  <c r="AN4" i="10" s="1"/>
  <c r="AO4" i="10" a="1"/>
  <c r="AO4" i="10" s="1"/>
  <c r="AN5" i="10" a="1"/>
  <c r="AN5" i="10" s="1"/>
  <c r="AO5" i="10" a="1"/>
  <c r="AO5" i="10" s="1"/>
  <c r="AN8" i="10" a="1"/>
  <c r="AN8" i="10" s="1"/>
  <c r="AO8" i="10" a="1"/>
  <c r="AO8" i="10" s="1"/>
  <c r="AN6" i="10" a="1"/>
  <c r="AN6" i="10" s="1"/>
  <c r="AO6" i="10" a="1"/>
  <c r="AO6" i="10" s="1"/>
  <c r="AO7" i="10" a="1"/>
  <c r="AO7" i="10" s="1"/>
  <c r="AN7" i="10" a="1"/>
  <c r="AN7" i="10" s="1"/>
  <c r="AN10" i="10" a="1"/>
  <c r="AN10" i="10" s="1"/>
  <c r="AO10" i="10" a="1"/>
  <c r="AO10" i="10" s="1"/>
  <c r="I75" i="5" a="1"/>
  <c r="I75" i="5" s="1"/>
  <c r="I76" i="5" s="1" a="1"/>
  <c r="I76" i="5" s="1"/>
  <c r="G75" i="5" a="1"/>
  <c r="G75" i="5" s="1"/>
  <c r="G76" i="5" s="1" a="1"/>
  <c r="G76" i="5" s="1"/>
  <c r="E75" i="5" a="1"/>
  <c r="E75" i="5" s="1"/>
  <c r="E76" i="5" s="1" a="1"/>
  <c r="E76" i="5" s="1"/>
  <c r="L2" i="44"/>
  <c r="AJ26" i="24"/>
  <c r="AJ46" i="24"/>
  <c r="AK27" i="24"/>
  <c r="AJ25" i="24"/>
  <c r="AK51" i="24"/>
  <c r="AJ41" i="24"/>
  <c r="AK41" i="24"/>
  <c r="AK10" i="24"/>
  <c r="AK11" i="24"/>
  <c r="AJ61" i="24"/>
  <c r="AK61" i="24"/>
  <c r="AJ6" i="24"/>
  <c r="AK47" i="24"/>
  <c r="AK8" i="24"/>
  <c r="AK50" i="24"/>
  <c r="AK31" i="24"/>
  <c r="AK49" i="24"/>
  <c r="AK29" i="24"/>
  <c r="AJ21" i="24"/>
  <c r="AK21" i="24"/>
  <c r="AK28" i="24"/>
  <c r="AK30" i="24"/>
  <c r="AK48" i="24"/>
  <c r="AK9" i="24"/>
  <c r="AJ5" i="24"/>
  <c r="AJ45" i="24"/>
  <c r="AK7" i="24"/>
  <c r="U41" i="24"/>
  <c r="U47" i="24"/>
  <c r="U61" i="24"/>
  <c r="U50" i="24"/>
  <c r="U31" i="24"/>
  <c r="U21" i="24"/>
  <c r="U49" i="24"/>
  <c r="U51" i="24"/>
  <c r="U11" i="24"/>
  <c r="U48" i="24"/>
  <c r="U29" i="24"/>
  <c r="U9" i="24"/>
  <c r="U27" i="24"/>
  <c r="U7" i="24"/>
  <c r="U10" i="24"/>
  <c r="U28" i="24"/>
  <c r="U30" i="24"/>
  <c r="U8" i="24"/>
  <c r="AH26" i="24"/>
  <c r="AH25" i="24"/>
  <c r="AH5" i="24"/>
  <c r="AH46" i="24"/>
  <c r="AH45" i="24"/>
  <c r="AH41" i="24"/>
  <c r="AH61" i="24"/>
  <c r="AH6" i="24"/>
  <c r="AH21" i="24"/>
  <c r="J74" i="23"/>
  <c r="AC35" i="24"/>
  <c r="AD35" i="24" s="1"/>
  <c r="AC57" i="24"/>
  <c r="AD57" i="24" s="1"/>
  <c r="AC59" i="24"/>
  <c r="AD59" i="24" s="1"/>
  <c r="AC20" i="24"/>
  <c r="AD20" i="24" s="1"/>
  <c r="AC38" i="24"/>
  <c r="AD38" i="24" s="1"/>
  <c r="AC12" i="24"/>
  <c r="AD12" i="24" s="1"/>
  <c r="AC32" i="24"/>
  <c r="AD32" i="24" s="1"/>
  <c r="AC34" i="24"/>
  <c r="AD34" i="24" s="1"/>
  <c r="AC52" i="24"/>
  <c r="AD52" i="24" s="1"/>
  <c r="AC17" i="24"/>
  <c r="AD17" i="24" s="1"/>
  <c r="AC39" i="24"/>
  <c r="AD39" i="24" s="1"/>
  <c r="AC36" i="24"/>
  <c r="AD36" i="24" s="1"/>
  <c r="AC16" i="24"/>
  <c r="AD16" i="24" s="1"/>
  <c r="AC53" i="24"/>
  <c r="AD53" i="24" s="1"/>
  <c r="AC56" i="24"/>
  <c r="AD56" i="24" s="1"/>
  <c r="AC15" i="24"/>
  <c r="AD15" i="24" s="1"/>
  <c r="AC37" i="24"/>
  <c r="AD37" i="24" s="1"/>
  <c r="AC14" i="24"/>
  <c r="AD14" i="24" s="1"/>
  <c r="AC55" i="24"/>
  <c r="AD55" i="24" s="1"/>
  <c r="AC58" i="24"/>
  <c r="AD58" i="24" s="1"/>
  <c r="AC33" i="24"/>
  <c r="AD33" i="24" s="1"/>
  <c r="AC18" i="24"/>
  <c r="AD18" i="24" s="1"/>
  <c r="AC19" i="24"/>
  <c r="AD19" i="24" s="1"/>
  <c r="AC54" i="24"/>
  <c r="AD54" i="24" s="1"/>
  <c r="AC40" i="24"/>
  <c r="AD40" i="24" s="1"/>
  <c r="AC60" i="24"/>
  <c r="AD60" i="24" s="1"/>
  <c r="AC13" i="24"/>
  <c r="AD13" i="24" s="1"/>
  <c r="X39" i="24"/>
  <c r="Y39" i="24" s="1"/>
  <c r="X19" i="24"/>
  <c r="Y19" i="24" s="1"/>
  <c r="N35" i="24"/>
  <c r="X35" i="24"/>
  <c r="Y35" i="24" s="1"/>
  <c r="N20" i="24"/>
  <c r="X20" i="24"/>
  <c r="Y20" i="24" s="1"/>
  <c r="N38" i="24"/>
  <c r="X38" i="24"/>
  <c r="Y38" i="24" s="1"/>
  <c r="N57" i="24"/>
  <c r="X57" i="24"/>
  <c r="Y57" i="24" s="1"/>
  <c r="N52" i="24"/>
  <c r="X52" i="24"/>
  <c r="Y52" i="24" s="1"/>
  <c r="N17" i="24"/>
  <c r="X17" i="24"/>
  <c r="Y17" i="24" s="1"/>
  <c r="N33" i="24"/>
  <c r="X33" i="24"/>
  <c r="Y33" i="24" s="1"/>
  <c r="N12" i="24"/>
  <c r="X12" i="24"/>
  <c r="Y12" i="24" s="1"/>
  <c r="N32" i="24"/>
  <c r="X32" i="24"/>
  <c r="Y32" i="24" s="1"/>
  <c r="N34" i="24"/>
  <c r="X34" i="24"/>
  <c r="Y34" i="24" s="1"/>
  <c r="N15" i="24"/>
  <c r="X15" i="24"/>
  <c r="Y15" i="24" s="1"/>
  <c r="N53" i="24"/>
  <c r="X53" i="24"/>
  <c r="Y53" i="24" s="1"/>
  <c r="N59" i="24"/>
  <c r="X59" i="24"/>
  <c r="Y59" i="24" s="1"/>
  <c r="N55" i="24"/>
  <c r="X55" i="24"/>
  <c r="Y55" i="24" s="1"/>
  <c r="N54" i="24"/>
  <c r="X54" i="24"/>
  <c r="Y54" i="24" s="1"/>
  <c r="N40" i="24"/>
  <c r="X40" i="24"/>
  <c r="Y40" i="24" s="1"/>
  <c r="N36" i="24"/>
  <c r="X36" i="24"/>
  <c r="Y36" i="24" s="1"/>
  <c r="N16" i="24"/>
  <c r="X16" i="24"/>
  <c r="Y16" i="24" s="1"/>
  <c r="N56" i="24"/>
  <c r="X56" i="24"/>
  <c r="Y56" i="24" s="1"/>
  <c r="N14" i="24"/>
  <c r="X14" i="24"/>
  <c r="Y14" i="24" s="1"/>
  <c r="N37" i="24"/>
  <c r="X37" i="24"/>
  <c r="Y37" i="24" s="1"/>
  <c r="N60" i="24"/>
  <c r="X60" i="24"/>
  <c r="Y60" i="24" s="1"/>
  <c r="N18" i="24"/>
  <c r="X18" i="24"/>
  <c r="Y18" i="24" s="1"/>
  <c r="N58" i="24"/>
  <c r="X58" i="24"/>
  <c r="Y58" i="24" s="1"/>
  <c r="N13" i="24"/>
  <c r="X13" i="24"/>
  <c r="Y13" i="24" s="1"/>
  <c r="R4" i="24"/>
  <c r="R44" i="24"/>
  <c r="R27" i="24"/>
  <c r="R61" i="24"/>
  <c r="R8" i="24"/>
  <c r="R50" i="24"/>
  <c r="R31" i="24"/>
  <c r="R21" i="24"/>
  <c r="R28" i="24"/>
  <c r="R30" i="24"/>
  <c r="R26" i="24"/>
  <c r="R24" i="24"/>
  <c r="R7" i="24"/>
  <c r="R43" i="24"/>
  <c r="R47" i="24"/>
  <c r="R41" i="24"/>
  <c r="R10" i="24"/>
  <c r="R48" i="24"/>
  <c r="R49" i="24"/>
  <c r="R9" i="24"/>
  <c r="R6" i="24"/>
  <c r="R46" i="24"/>
  <c r="R25" i="24"/>
  <c r="R5" i="24"/>
  <c r="R51" i="24"/>
  <c r="R23" i="24"/>
  <c r="R11" i="24"/>
  <c r="R29" i="24"/>
  <c r="AF26" i="24"/>
  <c r="AG26" i="24"/>
  <c r="AG24" i="24"/>
  <c r="AF6" i="24"/>
  <c r="AG6" i="24"/>
  <c r="AG44" i="24"/>
  <c r="AF5" i="24"/>
  <c r="AG5" i="24"/>
  <c r="AG4" i="24"/>
  <c r="AF25" i="24"/>
  <c r="AG25" i="24"/>
  <c r="AF45" i="24"/>
  <c r="AG45" i="24"/>
  <c r="AG27" i="24"/>
  <c r="AF7" i="24"/>
  <c r="AG7" i="24"/>
  <c r="AF41" i="24"/>
  <c r="AG41" i="24"/>
  <c r="AG43" i="24"/>
  <c r="AG47" i="24"/>
  <c r="AG51" i="24"/>
  <c r="AG23" i="24"/>
  <c r="AG10" i="24"/>
  <c r="AF11" i="24"/>
  <c r="AF61" i="24"/>
  <c r="AG61" i="24"/>
  <c r="AF46" i="24"/>
  <c r="AG46" i="24"/>
  <c r="AG8" i="24"/>
  <c r="AG50" i="24"/>
  <c r="AF21" i="24"/>
  <c r="AG21" i="24"/>
  <c r="AG28" i="24"/>
  <c r="AG30" i="24"/>
  <c r="AG48" i="24"/>
  <c r="AG49" i="24"/>
  <c r="AG9" i="24"/>
  <c r="AG29" i="24"/>
  <c r="AB26" i="24"/>
  <c r="AB6" i="24"/>
  <c r="AB44" i="24"/>
  <c r="AB4" i="24"/>
  <c r="AB25" i="24"/>
  <c r="AB5" i="24"/>
  <c r="AB24" i="24"/>
  <c r="AB27" i="24"/>
  <c r="AB51" i="24"/>
  <c r="AB23" i="24"/>
  <c r="AB47" i="24"/>
  <c r="AB46" i="24"/>
  <c r="AB7" i="24"/>
  <c r="AA41" i="24"/>
  <c r="AB41" i="24"/>
  <c r="AB8" i="24"/>
  <c r="AB30" i="24"/>
  <c r="AB29" i="24"/>
  <c r="AB43" i="24"/>
  <c r="AA61" i="24"/>
  <c r="AB61" i="24"/>
  <c r="AB50" i="24"/>
  <c r="AA21" i="24"/>
  <c r="AB21" i="24"/>
  <c r="AB48" i="24"/>
  <c r="AB49" i="24"/>
  <c r="AB9" i="24"/>
  <c r="AB10" i="24"/>
  <c r="AA11" i="24"/>
  <c r="AB28" i="24"/>
  <c r="AA7" i="24"/>
  <c r="W61" i="24"/>
  <c r="W21" i="24"/>
  <c r="E9" i="21"/>
  <c r="E9" i="5"/>
  <c r="E9" i="18"/>
  <c r="E9" i="19"/>
  <c r="E9" i="20"/>
  <c r="E9" i="22"/>
  <c r="E9" i="13"/>
  <c r="E9" i="15"/>
  <c r="E9" i="16"/>
  <c r="F22" i="24"/>
  <c r="F2" i="24"/>
  <c r="F42" i="24"/>
  <c r="E22" i="24"/>
  <c r="E42" i="24"/>
  <c r="E2" i="24"/>
  <c r="W47" i="24"/>
  <c r="W51" i="24"/>
  <c r="W25" i="24"/>
  <c r="W6" i="24"/>
  <c r="W9" i="24"/>
  <c r="W48" i="24"/>
  <c r="W43" i="24"/>
  <c r="W49" i="24"/>
  <c r="W30" i="24"/>
  <c r="W46" i="24"/>
  <c r="W23" i="24"/>
  <c r="W5" i="24"/>
  <c r="W4" i="24"/>
  <c r="W24" i="24"/>
  <c r="W27" i="24"/>
  <c r="W28" i="24"/>
  <c r="W50" i="24"/>
  <c r="W26" i="24"/>
  <c r="W29" i="24"/>
  <c r="W7" i="24"/>
  <c r="W8" i="24"/>
  <c r="W44" i="24"/>
  <c r="W10" i="24"/>
  <c r="V41" i="24"/>
  <c r="W41" i="24"/>
  <c r="V7" i="24"/>
  <c r="V11" i="24"/>
  <c r="V21" i="24"/>
  <c r="V61" i="24"/>
  <c r="S10" i="24"/>
  <c r="S30" i="24"/>
  <c r="S27" i="24"/>
  <c r="Q9" i="24"/>
  <c r="S29" i="24"/>
  <c r="S7" i="24"/>
  <c r="S49" i="24"/>
  <c r="Q47" i="24"/>
  <c r="Q50" i="24"/>
  <c r="AR22" i="10"/>
  <c r="AS2" i="10"/>
  <c r="AS10" i="10"/>
  <c r="AS18" i="10"/>
  <c r="AS3" i="10"/>
  <c r="AS19" i="10"/>
  <c r="AS4" i="10"/>
  <c r="AS12" i="10"/>
  <c r="AS20" i="10"/>
  <c r="AS8" i="10"/>
  <c r="AS5" i="10"/>
  <c r="AS13" i="10"/>
  <c r="AS21" i="10"/>
  <c r="AS15" i="10"/>
  <c r="AS6" i="10"/>
  <c r="AS14" i="10"/>
  <c r="AS7" i="10"/>
  <c r="AS16" i="10"/>
  <c r="AS9" i="10"/>
  <c r="AS17" i="10"/>
  <c r="AS11" i="10"/>
  <c r="AL22" i="10"/>
  <c r="E22" i="29"/>
  <c r="D22" i="29" s="1"/>
  <c r="E14" i="8"/>
  <c r="V14" i="8" s="1"/>
  <c r="L28" i="24"/>
  <c r="V28" i="24" s="1"/>
  <c r="G74" i="21"/>
  <c r="J74" i="21" s="1"/>
  <c r="E25" i="16"/>
  <c r="E74" i="16" s="1"/>
  <c r="L50" i="24"/>
  <c r="V50" i="24" s="1"/>
  <c r="F16" i="8"/>
  <c r="L27" i="24"/>
  <c r="V27" i="24" s="1"/>
  <c r="E13" i="8"/>
  <c r="E12" i="8"/>
  <c r="V12" i="8" s="1"/>
  <c r="L26" i="24"/>
  <c r="V26" i="24" s="1"/>
  <c r="D14" i="8"/>
  <c r="L8" i="24"/>
  <c r="V8" i="24" s="1"/>
  <c r="E16" i="8"/>
  <c r="L30" i="24"/>
  <c r="V30" i="24" s="1"/>
  <c r="F15" i="8"/>
  <c r="L49" i="24"/>
  <c r="V49" i="24" s="1"/>
  <c r="E74" i="18"/>
  <c r="J74" i="18" s="1"/>
  <c r="I74" i="19"/>
  <c r="J74" i="22"/>
  <c r="E74" i="13"/>
  <c r="J74" i="13" s="1"/>
  <c r="N19" i="24"/>
  <c r="S19" i="24"/>
  <c r="T19" i="24" s="1"/>
  <c r="N39" i="24"/>
  <c r="S39" i="24"/>
  <c r="T39" i="24" s="1"/>
  <c r="S59" i="24"/>
  <c r="T59" i="24" s="1"/>
  <c r="K20" i="8"/>
  <c r="L45" i="24"/>
  <c r="V45" i="24" s="1"/>
  <c r="F11" i="8"/>
  <c r="BR14" i="10"/>
  <c r="BT14" i="10"/>
  <c r="K24" i="8"/>
  <c r="BR12" i="10"/>
  <c r="BT18" i="10"/>
  <c r="BR17" i="10"/>
  <c r="K26" i="8"/>
  <c r="BT17" i="10"/>
  <c r="BR19" i="10"/>
  <c r="BR18" i="10"/>
  <c r="BR16" i="10"/>
  <c r="BR13" i="10"/>
  <c r="K18" i="8"/>
  <c r="BS19" i="10"/>
  <c r="BS14" i="10"/>
  <c r="BS16" i="10"/>
  <c r="BS13" i="10"/>
  <c r="BS17" i="10"/>
  <c r="BT19" i="10"/>
  <c r="K21" i="8"/>
  <c r="K22" i="8"/>
  <c r="BS15" i="10"/>
  <c r="BS18" i="10"/>
  <c r="K25" i="8"/>
  <c r="K19" i="8"/>
  <c r="BT12" i="10"/>
  <c r="BT16" i="10"/>
  <c r="BS20" i="10"/>
  <c r="K23" i="8"/>
  <c r="BR15" i="10"/>
  <c r="BT15" i="10"/>
  <c r="BR20" i="10"/>
  <c r="BT13" i="10"/>
  <c r="BT20" i="10"/>
  <c r="BS12" i="10"/>
  <c r="J74" i="5"/>
  <c r="Q11" i="24"/>
  <c r="AV31" i="24"/>
  <c r="W31" i="24" s="1"/>
  <c r="AV45" i="24"/>
  <c r="W45" i="24" s="1"/>
  <c r="AV3" i="24"/>
  <c r="W3" i="24" s="1"/>
  <c r="AV11" i="24"/>
  <c r="W11" i="24" s="1"/>
  <c r="Q28" i="24"/>
  <c r="F17" i="8"/>
  <c r="L51" i="24"/>
  <c r="Q51" i="24" s="1"/>
  <c r="Q8" i="24"/>
  <c r="E17" i="8"/>
  <c r="V17" i="8" s="1"/>
  <c r="E21" i="24"/>
  <c r="E61" i="24"/>
  <c r="E41" i="24"/>
  <c r="F61" i="24"/>
  <c r="F21" i="24"/>
  <c r="F41" i="24"/>
  <c r="S41" i="24"/>
  <c r="Q41" i="24"/>
  <c r="S21" i="24"/>
  <c r="Q21" i="24"/>
  <c r="Q61" i="24"/>
  <c r="S61" i="24"/>
  <c r="BM11" i="10"/>
  <c r="AF17" i="10"/>
  <c r="AF12" i="10"/>
  <c r="AF18" i="10"/>
  <c r="AF15" i="10"/>
  <c r="AF20" i="10"/>
  <c r="AF16" i="10"/>
  <c r="H22" i="1" s="1"/>
  <c r="AF13" i="10"/>
  <c r="H19" i="1" s="1"/>
  <c r="AF11" i="10"/>
  <c r="AF19" i="10"/>
  <c r="AF14" i="10"/>
  <c r="H20" i="1" s="1"/>
  <c r="E27" i="8"/>
  <c r="L31" i="24"/>
  <c r="Q31" i="24" s="1"/>
  <c r="L9" i="24"/>
  <c r="V9" i="24" s="1"/>
  <c r="D15" i="8"/>
  <c r="U15" i="8" s="1"/>
  <c r="L10" i="24"/>
  <c r="V10" i="24" s="1"/>
  <c r="D16" i="8"/>
  <c r="F12" i="8"/>
  <c r="L46" i="24"/>
  <c r="V46" i="24" s="1"/>
  <c r="E8" i="8"/>
  <c r="V8" i="8" s="1"/>
  <c r="L22" i="24"/>
  <c r="AA22" i="24" s="1"/>
  <c r="F14" i="8"/>
  <c r="L48" i="24"/>
  <c r="Q48" i="24" s="1"/>
  <c r="L2" i="24"/>
  <c r="AF2" i="24" s="1"/>
  <c r="D8" i="8"/>
  <c r="L42" i="24"/>
  <c r="AA42" i="24" s="1"/>
  <c r="F8" i="8"/>
  <c r="E11" i="8"/>
  <c r="V11" i="8" s="1"/>
  <c r="L25" i="24"/>
  <c r="Q25" i="24" s="1"/>
  <c r="L24" i="24"/>
  <c r="V24" i="24" s="1"/>
  <c r="E10" i="8"/>
  <c r="V10" i="8" s="1"/>
  <c r="J74" i="20"/>
  <c r="BO21" i="10"/>
  <c r="K21" i="44" s="1"/>
  <c r="AF10" i="10"/>
  <c r="AF6" i="10"/>
  <c r="AF2" i="10"/>
  <c r="AF7" i="10"/>
  <c r="AF5" i="10"/>
  <c r="AF4" i="10"/>
  <c r="AF8" i="10"/>
  <c r="AF9" i="10"/>
  <c r="AF21" i="10"/>
  <c r="AF3" i="10"/>
  <c r="G27" i="8"/>
  <c r="BM21" i="10"/>
  <c r="E11" i="24"/>
  <c r="E31" i="24"/>
  <c r="E51" i="24"/>
  <c r="BM7" i="10"/>
  <c r="E4" i="24"/>
  <c r="E24" i="24"/>
  <c r="E44" i="24"/>
  <c r="F6" i="24"/>
  <c r="F46" i="24"/>
  <c r="F26" i="24"/>
  <c r="F29" i="24"/>
  <c r="F49" i="24"/>
  <c r="F9" i="24"/>
  <c r="F7" i="24"/>
  <c r="F47" i="24"/>
  <c r="F27" i="24"/>
  <c r="E28" i="24"/>
  <c r="E8" i="24"/>
  <c r="E48" i="24"/>
  <c r="E5" i="24"/>
  <c r="E45" i="24"/>
  <c r="E25" i="24"/>
  <c r="E50" i="24"/>
  <c r="E30" i="24"/>
  <c r="E10" i="24"/>
  <c r="F4" i="24"/>
  <c r="F24" i="24"/>
  <c r="F44" i="24"/>
  <c r="F8" i="24"/>
  <c r="F28" i="24"/>
  <c r="F48" i="24"/>
  <c r="F25" i="24"/>
  <c r="F45" i="24"/>
  <c r="F5" i="24"/>
  <c r="F3" i="24"/>
  <c r="F23" i="24"/>
  <c r="F43" i="24"/>
  <c r="E26" i="24"/>
  <c r="E6" i="24"/>
  <c r="E46" i="24"/>
  <c r="E9" i="24"/>
  <c r="E29" i="24"/>
  <c r="E49" i="24"/>
  <c r="E27" i="24"/>
  <c r="E47" i="24"/>
  <c r="E7" i="24"/>
  <c r="F50" i="24"/>
  <c r="F10" i="24"/>
  <c r="F30" i="24"/>
  <c r="F31" i="24"/>
  <c r="F11" i="24"/>
  <c r="F51" i="24"/>
  <c r="E3" i="24"/>
  <c r="E23" i="24"/>
  <c r="E43" i="24"/>
  <c r="F10" i="8"/>
  <c r="L44" i="24"/>
  <c r="V44" i="24" s="1"/>
  <c r="L4" i="24"/>
  <c r="V4" i="24" s="1"/>
  <c r="D10" i="8"/>
  <c r="U10" i="8" s="1"/>
  <c r="J74" i="15"/>
  <c r="L23" i="24"/>
  <c r="Q23" i="24" s="1"/>
  <c r="E9" i="8"/>
  <c r="V9" i="8" s="1"/>
  <c r="L43" i="24"/>
  <c r="Q43" i="24" s="1"/>
  <c r="F9" i="8"/>
  <c r="Q10" i="24"/>
  <c r="Q27" i="24"/>
  <c r="Q30" i="24"/>
  <c r="S50" i="24"/>
  <c r="Q7" i="24"/>
  <c r="S47" i="24"/>
  <c r="S9" i="24"/>
  <c r="Q29" i="24"/>
  <c r="Q49" i="24"/>
  <c r="A1" i="5" a="1"/>
  <c r="A1" i="5" s="1"/>
  <c r="A1" i="21" a="1"/>
  <c r="A1" i="21" s="1"/>
  <c r="A1" i="19" a="1"/>
  <c r="A1" i="19" s="1"/>
  <c r="A1" i="15" a="1"/>
  <c r="A1" i="15" s="1"/>
  <c r="A1" i="22" a="1"/>
  <c r="A1" i="22" s="1"/>
  <c r="A1" i="18" a="1"/>
  <c r="A1" i="18" s="1"/>
  <c r="A1" i="13" a="1"/>
  <c r="A1" i="13" s="1"/>
  <c r="A1" i="20" a="1"/>
  <c r="A1" i="20" s="1"/>
  <c r="AM44" i="24" a="1"/>
  <c r="AM4" i="24" a="1"/>
  <c r="AM9" i="24" a="1"/>
  <c r="BN21" i="10" a="1"/>
  <c r="J9" i="8" a="1"/>
  <c r="M4" i="24" a="1"/>
  <c r="J15" i="8" a="1"/>
  <c r="G9" i="8" a="1"/>
  <c r="M10" i="24" a="1"/>
  <c r="M23" i="24" a="1"/>
  <c r="BU16" i="10" a="1"/>
  <c r="G12" i="8" a="1"/>
  <c r="I11" i="8" a="1"/>
  <c r="M31" i="24" a="1"/>
  <c r="C37" i="8" a="1"/>
  <c r="BO6" i="10" a="1"/>
  <c r="BU19" i="10" a="1"/>
  <c r="BN2" i="10" a="1"/>
  <c r="C53" i="8" a="1"/>
  <c r="J12" i="8" a="1"/>
  <c r="D9" i="8" a="1"/>
  <c r="M28" i="24" a="1"/>
  <c r="M7" i="24" a="1"/>
  <c r="BN10" i="10" a="1"/>
  <c r="L5" i="24" a="1"/>
  <c r="BU12" i="10" a="1"/>
  <c r="BM8" i="10" a="1"/>
  <c r="L29" i="24" a="1"/>
  <c r="M26" i="24" a="1"/>
  <c r="H15" i="8" a="1"/>
  <c r="J8" i="8" a="1"/>
  <c r="BN3" i="10" a="1"/>
  <c r="M30" i="24" a="1"/>
  <c r="I13" i="8" a="1"/>
  <c r="D11" i="8" a="1"/>
  <c r="M51" i="24" a="1"/>
  <c r="BO2" i="10" a="1"/>
  <c r="BO3" i="10" a="1"/>
  <c r="BN4" i="10" a="1"/>
  <c r="H14" i="8" a="1"/>
  <c r="M49" i="24" a="1"/>
  <c r="I27" i="8" a="1"/>
  <c r="D53" i="8" a="1"/>
  <c r="M50" i="24" a="1"/>
  <c r="I14" i="8" a="1"/>
  <c r="M9" i="24" a="1"/>
  <c r="L6" i="24" a="1"/>
  <c r="G14" i="8" a="1"/>
  <c r="BU18" i="10" a="1"/>
  <c r="J27" i="8" a="1"/>
  <c r="BU14" i="10" a="1"/>
  <c r="H17" i="8" a="1"/>
  <c r="BU17" i="10" a="1"/>
  <c r="M2" i="24" a="1"/>
  <c r="G15" i="8" a="1"/>
  <c r="BP21" i="10" a="1"/>
  <c r="I17" i="8" a="1"/>
  <c r="I10" i="8" a="1"/>
  <c r="BN11" i="10" a="1"/>
  <c r="BN8" i="10" a="1"/>
  <c r="BO10" i="10" a="1"/>
  <c r="H8" i="8" a="1"/>
  <c r="G16" i="8" a="1"/>
  <c r="M24" i="24" a="1"/>
  <c r="BO9" i="10" a="1"/>
  <c r="G10" i="8" a="1"/>
  <c r="M41" i="24" a="1"/>
  <c r="BO4" i="10" a="1"/>
  <c r="G8" i="8" a="1"/>
  <c r="H10" i="8" a="1"/>
  <c r="J10" i="8" a="1"/>
  <c r="M61" i="24" a="1"/>
  <c r="H27" i="8" a="1"/>
  <c r="E15" i="8" a="1"/>
  <c r="D12" i="8" a="1"/>
  <c r="BM9" i="10" a="1"/>
  <c r="M44" i="24" a="1"/>
  <c r="I8" i="8" a="1"/>
  <c r="BN7" i="10" a="1"/>
  <c r="BN6" i="10" a="1"/>
  <c r="M8" i="24" a="1"/>
  <c r="J17" i="8" a="1"/>
  <c r="M45" i="24" a="1"/>
  <c r="M42" i="24" a="1"/>
  <c r="BO11" i="10" a="1"/>
  <c r="L3" i="24" a="1"/>
  <c r="H13" i="8" a="1"/>
  <c r="D37" i="8" a="1"/>
  <c r="BN5" i="10" a="1"/>
  <c r="M43" i="24" a="1"/>
  <c r="BU15" i="10" a="1"/>
  <c r="M11" i="24" a="1"/>
  <c r="J14" i="8" a="1"/>
  <c r="J11" i="8" a="1"/>
  <c r="H16" i="8" a="1"/>
  <c r="I12" i="8" a="1"/>
  <c r="G17" i="8" a="1"/>
  <c r="BM2" i="10" a="1"/>
  <c r="BM4" i="10" a="1"/>
  <c r="M22" i="24" a="1"/>
  <c r="BO5" i="10" a="1"/>
  <c r="BU13" i="10" a="1"/>
  <c r="BM10" i="10" a="1"/>
  <c r="M27" i="24" a="1"/>
  <c r="J16" i="8" a="1"/>
  <c r="M46" i="24" a="1"/>
  <c r="L47" i="24" a="1"/>
  <c r="I16" i="8" a="1"/>
  <c r="I9" i="8" a="1"/>
  <c r="M25" i="24" a="1"/>
  <c r="F13" i="8" a="1"/>
  <c r="BO8" i="10" a="1"/>
  <c r="M21" i="24" a="1"/>
  <c r="BU20" i="10" a="1"/>
  <c r="M48" i="24" a="1"/>
  <c r="E76" i="13" l="1" a="1"/>
  <c r="E76" i="13" s="1"/>
  <c r="H8" i="1"/>
  <c r="M2" i="24"/>
  <c r="AH2" i="24" s="1"/>
  <c r="AI2" i="24" s="1"/>
  <c r="M51" i="24"/>
  <c r="M7" i="24"/>
  <c r="M46" i="24"/>
  <c r="M8" i="24"/>
  <c r="M28" i="24"/>
  <c r="M26" i="24"/>
  <c r="M43" i="24"/>
  <c r="M23" i="24"/>
  <c r="M41" i="24"/>
  <c r="M21" i="24"/>
  <c r="M44" i="24"/>
  <c r="AH44" i="24" s="1"/>
  <c r="M61" i="24"/>
  <c r="M24" i="24"/>
  <c r="AH24" i="24" s="1"/>
  <c r="M4" i="24"/>
  <c r="AH4" i="24" s="1"/>
  <c r="M31" i="24"/>
  <c r="M42" i="24"/>
  <c r="AH42" i="24" s="1"/>
  <c r="M10" i="24"/>
  <c r="M30" i="24"/>
  <c r="M25" i="24"/>
  <c r="M50" i="24"/>
  <c r="M49" i="24"/>
  <c r="M45" i="24"/>
  <c r="M9" i="24"/>
  <c r="M48" i="24"/>
  <c r="M27" i="24"/>
  <c r="M22" i="24"/>
  <c r="AH22" i="24" s="1"/>
  <c r="M11" i="24"/>
  <c r="AF42" i="24"/>
  <c r="AF22" i="24"/>
  <c r="AF50" i="24"/>
  <c r="R3" i="24"/>
  <c r="AG11" i="24"/>
  <c r="AF9" i="24"/>
  <c r="AF51" i="24"/>
  <c r="AG31" i="24"/>
  <c r="AF28" i="24"/>
  <c r="AF31" i="24"/>
  <c r="AF8" i="24"/>
  <c r="Q4" i="24"/>
  <c r="AF49" i="24"/>
  <c r="AF48" i="24"/>
  <c r="R45" i="24"/>
  <c r="Q45" i="24"/>
  <c r="Q24" i="24"/>
  <c r="AF30" i="24"/>
  <c r="AF10" i="24"/>
  <c r="Q44" i="24"/>
  <c r="CS16" i="10"/>
  <c r="CS18" i="10"/>
  <c r="CS12" i="10"/>
  <c r="CS14" i="10"/>
  <c r="CS19" i="10"/>
  <c r="CS20" i="10"/>
  <c r="CS13" i="10"/>
  <c r="CS15" i="10"/>
  <c r="CS17" i="10"/>
  <c r="CR20" i="10"/>
  <c r="CR18" i="10"/>
  <c r="CR17" i="10"/>
  <c r="CR15" i="10"/>
  <c r="CR16" i="10"/>
  <c r="CR13" i="10"/>
  <c r="CR14" i="10"/>
  <c r="CR19" i="10"/>
  <c r="CR12" i="10"/>
  <c r="CQ17" i="10"/>
  <c r="CQ14" i="10"/>
  <c r="CQ13" i="10"/>
  <c r="CQ12" i="10"/>
  <c r="CQ16" i="10"/>
  <c r="CQ20" i="10"/>
  <c r="CQ18" i="10"/>
  <c r="CQ19" i="10"/>
  <c r="CQ15" i="10"/>
  <c r="AF27" i="24"/>
  <c r="Q46" i="24"/>
  <c r="Q26" i="24"/>
  <c r="AL50" i="24"/>
  <c r="AL30" i="24"/>
  <c r="AL48" i="24"/>
  <c r="AL11" i="24"/>
  <c r="AL21" i="24"/>
  <c r="AL51" i="24"/>
  <c r="AL49" i="24"/>
  <c r="AL31" i="24"/>
  <c r="AL47" i="24"/>
  <c r="AL28" i="24"/>
  <c r="AL41" i="24"/>
  <c r="AL7" i="24"/>
  <c r="AL61" i="24"/>
  <c r="AL8" i="24"/>
  <c r="AL10" i="24"/>
  <c r="AL27" i="24"/>
  <c r="AL9" i="24"/>
  <c r="AL29" i="24"/>
  <c r="AA2" i="24"/>
  <c r="AI25" i="24"/>
  <c r="AI5" i="24"/>
  <c r="AI46" i="24"/>
  <c r="AI26" i="24"/>
  <c r="AI45" i="24"/>
  <c r="AI61" i="24"/>
  <c r="T10" i="24"/>
  <c r="AI6" i="24"/>
  <c r="AI21" i="24"/>
  <c r="AI41" i="24"/>
  <c r="T49" i="24"/>
  <c r="T21" i="24"/>
  <c r="T41" i="24"/>
  <c r="T50" i="24"/>
  <c r="T9" i="24"/>
  <c r="T47" i="24"/>
  <c r="T7" i="24"/>
  <c r="T61" i="24"/>
  <c r="T29" i="24"/>
  <c r="T30" i="24"/>
  <c r="T27" i="24"/>
  <c r="AP27" i="24"/>
  <c r="I27" i="24"/>
  <c r="AP5" i="24"/>
  <c r="I5" i="24"/>
  <c r="O5" i="24" s="1" a="1"/>
  <c r="O5" i="24" s="1"/>
  <c r="AP25" i="24"/>
  <c r="I25" i="24"/>
  <c r="AP26" i="24"/>
  <c r="I26" i="24"/>
  <c r="AP48" i="24"/>
  <c r="I48" i="24"/>
  <c r="AP46" i="24"/>
  <c r="I46" i="24"/>
  <c r="AP47" i="24"/>
  <c r="I47" i="24"/>
  <c r="O47" i="24" s="1" a="1"/>
  <c r="O47" i="24" s="1"/>
  <c r="AP23" i="24"/>
  <c r="I23" i="24"/>
  <c r="AP9" i="24"/>
  <c r="I9" i="24"/>
  <c r="AP49" i="24"/>
  <c r="I49" i="24"/>
  <c r="AP11" i="24"/>
  <c r="I11" i="24"/>
  <c r="AP8" i="24"/>
  <c r="I8" i="24"/>
  <c r="AP41" i="24"/>
  <c r="I41" i="24"/>
  <c r="AP42" i="24"/>
  <c r="I42" i="24"/>
  <c r="AP7" i="24"/>
  <c r="I7" i="24"/>
  <c r="AP3" i="24"/>
  <c r="I3" i="24"/>
  <c r="O3" i="24" s="1" a="1"/>
  <c r="O3" i="24" s="1"/>
  <c r="AP51" i="24"/>
  <c r="I51" i="24"/>
  <c r="AP21" i="24"/>
  <c r="I21" i="24"/>
  <c r="AP2" i="24"/>
  <c r="I2" i="24"/>
  <c r="AP30" i="24"/>
  <c r="I30" i="24"/>
  <c r="AP24" i="24"/>
  <c r="I24" i="24"/>
  <c r="AP61" i="24"/>
  <c r="I61" i="24"/>
  <c r="AP22" i="24"/>
  <c r="I22" i="24"/>
  <c r="AP31" i="24"/>
  <c r="I31" i="24"/>
  <c r="AP28" i="24"/>
  <c r="I28" i="24"/>
  <c r="AP44" i="24"/>
  <c r="I44" i="24"/>
  <c r="AP50" i="24"/>
  <c r="I50" i="24"/>
  <c r="AP43" i="24"/>
  <c r="I43" i="24"/>
  <c r="AP45" i="24"/>
  <c r="I45" i="24"/>
  <c r="AP29" i="24"/>
  <c r="I29" i="24"/>
  <c r="O29" i="24" s="1" a="1"/>
  <c r="O29" i="24" s="1"/>
  <c r="AP6" i="24"/>
  <c r="I6" i="24"/>
  <c r="O6" i="24" s="1" a="1"/>
  <c r="O6" i="24" s="1"/>
  <c r="AP10" i="24"/>
  <c r="I10" i="24"/>
  <c r="AP4" i="24"/>
  <c r="I4" i="24"/>
  <c r="G17" i="8"/>
  <c r="H13" i="1"/>
  <c r="AG3" i="24"/>
  <c r="AF4" i="24"/>
  <c r="AF44" i="24"/>
  <c r="AF24" i="24"/>
  <c r="AF23" i="24"/>
  <c r="AF43" i="24"/>
  <c r="AA50" i="24"/>
  <c r="AA28" i="24"/>
  <c r="AA27" i="24"/>
  <c r="AA45" i="24"/>
  <c r="AA51" i="24"/>
  <c r="AB31" i="24"/>
  <c r="AB3" i="24"/>
  <c r="AB11" i="24"/>
  <c r="AB45" i="24"/>
  <c r="AA23" i="24"/>
  <c r="AA30" i="24"/>
  <c r="AA24" i="24"/>
  <c r="AA9" i="24"/>
  <c r="AA25" i="24"/>
  <c r="AA49" i="24"/>
  <c r="AA44" i="24"/>
  <c r="AA31" i="24"/>
  <c r="AA43" i="24"/>
  <c r="AA8" i="24"/>
  <c r="AA26" i="24"/>
  <c r="AA10" i="24"/>
  <c r="AA4" i="24"/>
  <c r="AA46" i="24"/>
  <c r="AA48" i="24"/>
  <c r="D53" i="8"/>
  <c r="C53" i="8"/>
  <c r="H11" i="1"/>
  <c r="H9" i="1"/>
  <c r="H12" i="1"/>
  <c r="H23" i="1"/>
  <c r="H27" i="1"/>
  <c r="H21" i="1"/>
  <c r="H18" i="1"/>
  <c r="H24" i="1"/>
  <c r="H25" i="1"/>
  <c r="H17" i="1"/>
  <c r="H26" i="1"/>
  <c r="H16" i="1"/>
  <c r="H15" i="1"/>
  <c r="H14" i="1"/>
  <c r="H10" i="1"/>
  <c r="H4" i="24" a="1"/>
  <c r="H4" i="24" s="1"/>
  <c r="H43" i="24" a="1"/>
  <c r="H43" i="24" s="1"/>
  <c r="D37" i="8"/>
  <c r="H2" i="24" a="1"/>
  <c r="H2" i="24" s="1"/>
  <c r="H45" i="24" a="1"/>
  <c r="H45" i="24" s="1"/>
  <c r="H55" i="24" a="1"/>
  <c r="H55" i="24" s="1"/>
  <c r="H14" i="24" a="1"/>
  <c r="H14" i="24" s="1"/>
  <c r="H30" i="24" a="1"/>
  <c r="H30" i="24" s="1"/>
  <c r="H19" i="24" a="1"/>
  <c r="H19" i="24" s="1"/>
  <c r="H51" i="24" a="1"/>
  <c r="H51" i="24" s="1"/>
  <c r="H24" i="24" a="1"/>
  <c r="H24" i="24" s="1"/>
  <c r="H46" i="24" a="1"/>
  <c r="H46" i="24" s="1"/>
  <c r="H29" i="24" a="1"/>
  <c r="H29" i="24" s="1"/>
  <c r="H54" i="24" a="1"/>
  <c r="H54" i="24" s="1"/>
  <c r="H33" i="24" a="1"/>
  <c r="H33" i="24" s="1"/>
  <c r="H35" i="24" a="1"/>
  <c r="H35" i="24" s="1"/>
  <c r="H18" i="24" a="1"/>
  <c r="H18" i="24" s="1"/>
  <c r="H50" i="24" a="1"/>
  <c r="H50" i="24" s="1"/>
  <c r="H31" i="24" a="1"/>
  <c r="H31" i="24" s="1"/>
  <c r="H58" i="24" a="1"/>
  <c r="H58" i="24" s="1"/>
  <c r="H23" i="24" a="1"/>
  <c r="H23" i="24" s="1"/>
  <c r="H15" i="24" a="1"/>
  <c r="H15" i="24" s="1"/>
  <c r="H60" i="24" a="1"/>
  <c r="H60" i="24" s="1"/>
  <c r="H3" i="24" a="1"/>
  <c r="H3" i="24" s="1"/>
  <c r="H27" i="24" a="1"/>
  <c r="H27" i="24" s="1"/>
  <c r="H47" i="24" a="1"/>
  <c r="H47" i="24" s="1"/>
  <c r="H42" i="24" a="1"/>
  <c r="H42" i="24" s="1"/>
  <c r="H48" i="24" a="1"/>
  <c r="H48" i="24" s="1"/>
  <c r="H49" i="24" a="1"/>
  <c r="H49" i="24" s="1"/>
  <c r="H16" i="24" a="1"/>
  <c r="H16" i="24" s="1"/>
  <c r="H7" i="24" a="1"/>
  <c r="H7" i="24" s="1"/>
  <c r="H44" i="24" a="1"/>
  <c r="H44" i="24" s="1"/>
  <c r="H40" i="24" a="1"/>
  <c r="H40" i="24" s="1"/>
  <c r="H21" i="24" a="1"/>
  <c r="H21" i="24" s="1"/>
  <c r="H17" i="24" a="1"/>
  <c r="H17" i="24" s="1"/>
  <c r="H34" i="24" a="1"/>
  <c r="H34" i="24" s="1"/>
  <c r="H6" i="24" a="1"/>
  <c r="H6" i="24" s="1"/>
  <c r="H26" i="24" a="1"/>
  <c r="H26" i="24" s="1"/>
  <c r="H8" i="24" a="1"/>
  <c r="H8" i="24" s="1"/>
  <c r="H57" i="24" a="1"/>
  <c r="H57" i="24" s="1"/>
  <c r="H36" i="24" a="1"/>
  <c r="H36" i="24" s="1"/>
  <c r="H10" i="24" a="1"/>
  <c r="H10" i="24" s="1"/>
  <c r="H13" i="24" a="1"/>
  <c r="H13" i="24" s="1"/>
  <c r="H38" i="24" a="1"/>
  <c r="H38" i="24" s="1"/>
  <c r="H20" i="24" a="1"/>
  <c r="H20" i="24" s="1"/>
  <c r="H37" i="24" a="1"/>
  <c r="H37" i="24" s="1"/>
  <c r="H56" i="24" a="1"/>
  <c r="H56" i="24" s="1"/>
  <c r="H61" i="24" a="1"/>
  <c r="H61" i="24" s="1"/>
  <c r="H11" i="24" a="1"/>
  <c r="H11" i="24" s="1"/>
  <c r="H28" i="24" a="1"/>
  <c r="H28" i="24" s="1"/>
  <c r="H39" i="24" a="1"/>
  <c r="H39" i="24" s="1"/>
  <c r="H5" i="24" a="1"/>
  <c r="H5" i="24" s="1"/>
  <c r="H52" i="24" a="1"/>
  <c r="H52" i="24" s="1"/>
  <c r="H12" i="24" a="1"/>
  <c r="H12" i="24" s="1"/>
  <c r="H25" i="24" a="1"/>
  <c r="H25" i="24" s="1"/>
  <c r="H53" i="24" a="1"/>
  <c r="H53" i="24" s="1"/>
  <c r="H32" i="24" a="1"/>
  <c r="H32" i="24" s="1"/>
  <c r="H22" i="24" a="1"/>
  <c r="H22" i="24" s="1"/>
  <c r="H9" i="24" a="1"/>
  <c r="H9" i="24" s="1"/>
  <c r="H41" i="24" a="1"/>
  <c r="H41" i="24" s="1"/>
  <c r="H59" i="24" a="1"/>
  <c r="H59" i="24" s="1"/>
  <c r="C37" i="8"/>
  <c r="AM9" i="24"/>
  <c r="F22" i="29"/>
  <c r="V51" i="24"/>
  <c r="Q42" i="24"/>
  <c r="V42" i="24"/>
  <c r="Q22" i="24"/>
  <c r="V22" i="24"/>
  <c r="V48" i="24"/>
  <c r="V31" i="24"/>
  <c r="V23" i="24"/>
  <c r="V25" i="24"/>
  <c r="Q2" i="24"/>
  <c r="V2" i="24"/>
  <c r="V43" i="24"/>
  <c r="I7" i="44"/>
  <c r="I11" i="44"/>
  <c r="I21" i="44"/>
  <c r="X22" i="10"/>
  <c r="AF22" i="10"/>
  <c r="AN22" i="10"/>
  <c r="AO22" i="10"/>
  <c r="AS22" i="10"/>
  <c r="AM4" i="24"/>
  <c r="AM44" i="24"/>
  <c r="D11" i="8"/>
  <c r="U11" i="8" s="1"/>
  <c r="L5" i="24"/>
  <c r="Q5" i="24" s="1"/>
  <c r="E15" i="8"/>
  <c r="L29" i="24"/>
  <c r="AF29" i="24" s="1"/>
  <c r="BN8" i="10"/>
  <c r="J8" i="44" s="1"/>
  <c r="J74" i="16"/>
  <c r="G16" i="8"/>
  <c r="BM8" i="10"/>
  <c r="L47" i="24"/>
  <c r="AF47" i="24" s="1"/>
  <c r="F13" i="8"/>
  <c r="L6" i="24"/>
  <c r="Q6" i="24" s="1"/>
  <c r="D12" i="8"/>
  <c r="U12" i="8" s="1"/>
  <c r="BN6" i="10"/>
  <c r="J6" i="44" s="1"/>
  <c r="BN7" i="10"/>
  <c r="J7" i="44" s="1"/>
  <c r="BO9" i="10"/>
  <c r="K9" i="44" s="1"/>
  <c r="BO10" i="10"/>
  <c r="K10" i="44" s="1"/>
  <c r="BN10" i="10"/>
  <c r="J10" i="44" s="1"/>
  <c r="J74" i="19"/>
  <c r="D9" i="8"/>
  <c r="L3" i="24"/>
  <c r="Q3" i="24" s="1"/>
  <c r="G15" i="8"/>
  <c r="X15" i="8" s="1"/>
  <c r="G12" i="8"/>
  <c r="X12" i="8" s="1"/>
  <c r="BU17" i="10"/>
  <c r="BU16" i="10"/>
  <c r="BU18" i="10"/>
  <c r="BU15" i="10"/>
  <c r="BU20" i="10"/>
  <c r="BO5" i="10"/>
  <c r="K5" i="44" s="1"/>
  <c r="BU13" i="10"/>
  <c r="BU12" i="10"/>
  <c r="BU19" i="10"/>
  <c r="BU14" i="10"/>
  <c r="G8" i="8"/>
  <c r="I8" i="8"/>
  <c r="BO11" i="10"/>
  <c r="K11" i="44" s="1"/>
  <c r="J76" i="5"/>
  <c r="H8" i="8"/>
  <c r="J76" i="39"/>
  <c r="BN11" i="10"/>
  <c r="J11" i="44" s="1"/>
  <c r="I17" i="8"/>
  <c r="J17" i="8"/>
  <c r="H17" i="8"/>
  <c r="BM10" i="10"/>
  <c r="BM9" i="10"/>
  <c r="BN21" i="10"/>
  <c r="AW21" i="10" s="1" a="1"/>
  <c r="AW21" i="10" s="1"/>
  <c r="BN2" i="10"/>
  <c r="BO6" i="10"/>
  <c r="K6" i="44" s="1"/>
  <c r="J8" i="8"/>
  <c r="BN5" i="10"/>
  <c r="J5" i="44" s="1"/>
  <c r="BO2" i="10"/>
  <c r="BM2" i="10"/>
  <c r="G14" i="8"/>
  <c r="X14" i="8" s="1"/>
  <c r="BN4" i="10"/>
  <c r="J4" i="44" s="1"/>
  <c r="BO8" i="10"/>
  <c r="K8" i="44" s="1"/>
  <c r="BP21" i="10"/>
  <c r="BO4" i="10"/>
  <c r="K4" i="44" s="1"/>
  <c r="G10" i="8"/>
  <c r="X10" i="8" s="1"/>
  <c r="BM4" i="10"/>
  <c r="G9" i="8"/>
  <c r="X9" i="8" s="1"/>
  <c r="BO3" i="10"/>
  <c r="K3" i="44" s="1"/>
  <c r="BN3" i="10"/>
  <c r="J3" i="44" s="1"/>
  <c r="H16" i="8"/>
  <c r="I10" i="8"/>
  <c r="J9" i="8"/>
  <c r="H15" i="8"/>
  <c r="AH9" i="24"/>
  <c r="AH10" i="24"/>
  <c r="H10" i="8"/>
  <c r="J27" i="8"/>
  <c r="AH51" i="24"/>
  <c r="I9" i="8"/>
  <c r="I12" i="8"/>
  <c r="I27" i="8"/>
  <c r="AH31" i="24"/>
  <c r="I11" i="8"/>
  <c r="AK25" i="24"/>
  <c r="J12" i="8"/>
  <c r="H27" i="8"/>
  <c r="AH11" i="24"/>
  <c r="AI11" i="24" s="1"/>
  <c r="AH49" i="24"/>
  <c r="J15" i="8"/>
  <c r="H13" i="8"/>
  <c r="AH7" i="24"/>
  <c r="AI7" i="24" s="1"/>
  <c r="J11" i="8"/>
  <c r="AK45" i="24"/>
  <c r="I13" i="8"/>
  <c r="AH27" i="24"/>
  <c r="I16" i="8"/>
  <c r="AH30" i="24"/>
  <c r="H14" i="8"/>
  <c r="AH8" i="24"/>
  <c r="J14" i="8"/>
  <c r="AH48" i="24"/>
  <c r="J16" i="8"/>
  <c r="AH50" i="24"/>
  <c r="J10" i="8"/>
  <c r="I14" i="8"/>
  <c r="AH28" i="24"/>
  <c r="J76" i="22"/>
  <c r="J76" i="15"/>
  <c r="J76" i="23"/>
  <c r="J76" i="20"/>
  <c r="AM3" i="24" a="1"/>
  <c r="BT4" i="10" a="1"/>
  <c r="BN9" i="10" a="1"/>
  <c r="BR21" i="10" a="1"/>
  <c r="BS2" i="10" a="1"/>
  <c r="BT10" i="10" a="1"/>
  <c r="BM6" i="10" a="1"/>
  <c r="D38" i="8" a="1"/>
  <c r="BP8" i="10" a="1"/>
  <c r="BT11" i="10" a="1"/>
  <c r="K27" i="8" a="1"/>
  <c r="AP62" i="24"/>
  <c r="K16" i="8" a="1"/>
  <c r="BZ2" i="10" a="1"/>
  <c r="BS10" i="10" a="1"/>
  <c r="BT5" i="10" a="1"/>
  <c r="M6" i="24" a="1"/>
  <c r="BR9" i="10" a="1"/>
  <c r="H9" i="8" a="1"/>
  <c r="BR10" i="10" a="1"/>
  <c r="BS7" i="10" a="1"/>
  <c r="BP11" i="10" a="1"/>
  <c r="BM3" i="10" a="1"/>
  <c r="L62" i="24"/>
  <c r="M47" i="24" a="1"/>
  <c r="BS5" i="10" a="1"/>
  <c r="K8" i="8" a="1"/>
  <c r="H12" i="8" a="1"/>
  <c r="C38" i="8" a="1"/>
  <c r="BS4" i="10" a="1"/>
  <c r="BS3" i="10" a="1"/>
  <c r="G13" i="8" a="1"/>
  <c r="Q62" i="24"/>
  <c r="BP10" i="10" a="1"/>
  <c r="BR11" i="10" a="1"/>
  <c r="K14" i="8" a="1"/>
  <c r="K17" i="8" a="1"/>
  <c r="BT9" i="10" a="1"/>
  <c r="BP9" i="10" a="1"/>
  <c r="I15" i="8" a="1"/>
  <c r="J13" i="8" a="1"/>
  <c r="BT21" i="10" a="1"/>
  <c r="BP6" i="10" a="1"/>
  <c r="BP3" i="10" a="1"/>
  <c r="K10" i="8" a="1"/>
  <c r="BR2" i="10" a="1"/>
  <c r="BT8" i="10" a="1"/>
  <c r="BR7" i="10" a="1"/>
  <c r="BR4" i="10" a="1"/>
  <c r="BS21" i="10" a="1"/>
  <c r="BT6" i="10" a="1"/>
  <c r="G11" i="8" a="1"/>
  <c r="BM5" i="10" a="1"/>
  <c r="BP4" i="10" a="1"/>
  <c r="BT2" i="10" a="1"/>
  <c r="BP2" i="10" a="1"/>
  <c r="BR8" i="10" a="1"/>
  <c r="BS11" i="10" a="1"/>
  <c r="BO7" i="10" a="1"/>
  <c r="H11" i="8" a="1"/>
  <c r="M5" i="24" a="1"/>
  <c r="M3" i="24" a="1"/>
  <c r="M29" i="24" a="1"/>
  <c r="BT3" i="10" a="1"/>
  <c r="BS6" i="10" a="1"/>
  <c r="BS8" i="10" a="1"/>
  <c r="M47" i="24" l="1"/>
  <c r="M6" i="24"/>
  <c r="M5" i="24"/>
  <c r="M29" i="24"/>
  <c r="M3" i="24"/>
  <c r="J76" i="19"/>
  <c r="J76" i="18"/>
  <c r="J76" i="16"/>
  <c r="J76" i="21"/>
  <c r="J76" i="13"/>
  <c r="AI42" i="24"/>
  <c r="AI22" i="24"/>
  <c r="AI24" i="24"/>
  <c r="AI44" i="24"/>
  <c r="AI4" i="24"/>
  <c r="AK43" i="24"/>
  <c r="AC43" i="24"/>
  <c r="AD43" i="24" s="1"/>
  <c r="AK23" i="24"/>
  <c r="AC23" i="24"/>
  <c r="AD23" i="24" s="1"/>
  <c r="X2" i="24"/>
  <c r="Y2" i="24" s="1"/>
  <c r="AC2" i="24"/>
  <c r="AD2" i="24" s="1"/>
  <c r="AK22" i="24"/>
  <c r="X22" i="24"/>
  <c r="Y22" i="24" s="1"/>
  <c r="AC22" i="24"/>
  <c r="AD22" i="24" s="1"/>
  <c r="AK42" i="24"/>
  <c r="X42" i="24"/>
  <c r="Y42" i="24" s="1"/>
  <c r="AC42" i="24"/>
  <c r="AD42" i="24" s="1"/>
  <c r="AI50" i="24"/>
  <c r="AI31" i="24"/>
  <c r="AI51" i="24"/>
  <c r="AI28" i="24"/>
  <c r="AI8" i="24"/>
  <c r="AI9" i="24"/>
  <c r="AI10" i="24"/>
  <c r="AI49" i="24"/>
  <c r="AI48" i="24"/>
  <c r="AI30" i="24"/>
  <c r="AK24" i="24"/>
  <c r="S24" i="24"/>
  <c r="T24" i="24" s="1"/>
  <c r="AK4" i="24"/>
  <c r="S4" i="24"/>
  <c r="T4" i="24" s="1"/>
  <c r="S44" i="24"/>
  <c r="T44" i="24" s="1"/>
  <c r="AK44" i="24"/>
  <c r="AV17" i="10"/>
  <c r="CG17" i="10"/>
  <c r="AV15" i="10"/>
  <c r="CG15" i="10"/>
  <c r="AV13" i="10"/>
  <c r="CG13" i="10"/>
  <c r="AV20" i="10"/>
  <c r="CG20" i="10"/>
  <c r="AV19" i="10"/>
  <c r="CG19" i="10"/>
  <c r="AV18" i="10"/>
  <c r="CG18" i="10"/>
  <c r="AV14" i="10"/>
  <c r="CG14" i="10"/>
  <c r="AV12" i="10"/>
  <c r="CG12" i="10"/>
  <c r="AV16" i="10"/>
  <c r="CG16" i="10"/>
  <c r="AU17" i="10"/>
  <c r="CF17" i="10"/>
  <c r="AU20" i="10"/>
  <c r="CF20" i="10"/>
  <c r="AU15" i="10"/>
  <c r="CF15" i="10"/>
  <c r="AU18" i="10"/>
  <c r="CF18" i="10"/>
  <c r="AU12" i="10"/>
  <c r="CF12" i="10"/>
  <c r="AU19" i="10"/>
  <c r="CF19" i="10"/>
  <c r="AU14" i="10"/>
  <c r="CF14" i="10"/>
  <c r="AU13" i="10"/>
  <c r="CF13" i="10"/>
  <c r="AU16" i="10"/>
  <c r="CF16" i="10"/>
  <c r="AT19" i="10"/>
  <c r="CE19" i="10"/>
  <c r="AT18" i="10"/>
  <c r="CE18" i="10"/>
  <c r="AT20" i="10"/>
  <c r="CE20" i="10"/>
  <c r="AT16" i="10"/>
  <c r="CE16" i="10"/>
  <c r="AT17" i="10"/>
  <c r="CE17" i="10"/>
  <c r="AT14" i="10"/>
  <c r="CE14" i="10"/>
  <c r="AT13" i="10"/>
  <c r="CE13" i="10"/>
  <c r="AT12" i="10"/>
  <c r="CE12" i="10"/>
  <c r="AT15" i="10"/>
  <c r="CE15" i="10"/>
  <c r="CT14" i="10"/>
  <c r="CH14" i="10" s="1"/>
  <c r="CT19" i="10"/>
  <c r="CH19" i="10" s="1"/>
  <c r="CT12" i="10"/>
  <c r="CH12" i="10" s="1"/>
  <c r="CT13" i="10"/>
  <c r="CH13" i="10" s="1"/>
  <c r="CT15" i="10"/>
  <c r="CH15" i="10" s="1"/>
  <c r="CT18" i="10"/>
  <c r="CH18" i="10" s="1"/>
  <c r="CT17" i="10"/>
  <c r="CH17" i="10" s="1"/>
  <c r="CT20" i="10"/>
  <c r="CH20" i="10" s="1"/>
  <c r="CT16" i="10"/>
  <c r="CH16" i="10" s="1"/>
  <c r="AK2" i="24"/>
  <c r="AI27" i="24"/>
  <c r="AK46" i="24"/>
  <c r="S46" i="24"/>
  <c r="T46" i="24" s="1"/>
  <c r="AK26" i="24"/>
  <c r="S26" i="24"/>
  <c r="T26" i="24" s="1"/>
  <c r="J2" i="44"/>
  <c r="K2" i="44"/>
  <c r="AF3" i="24"/>
  <c r="P5" i="24"/>
  <c r="U5" i="24" s="1"/>
  <c r="P6" i="24"/>
  <c r="P29" i="24"/>
  <c r="P47" i="24"/>
  <c r="P3" i="24"/>
  <c r="AH43" i="24"/>
  <c r="AI43" i="24" s="1"/>
  <c r="AH23" i="24"/>
  <c r="AI23" i="24" s="1"/>
  <c r="O24" i="24" a="1"/>
  <c r="O24" i="24" s="1"/>
  <c r="O9" i="24" a="1"/>
  <c r="O9" i="24" s="1"/>
  <c r="O61" i="24" a="1"/>
  <c r="O61" i="24" s="1"/>
  <c r="O30" i="24" a="1"/>
  <c r="O30" i="24" s="1"/>
  <c r="O2" i="24" a="1"/>
  <c r="O2" i="24" s="1"/>
  <c r="O23" i="24" a="1"/>
  <c r="O23" i="24" s="1"/>
  <c r="O28" i="24" a="1"/>
  <c r="O28" i="24" s="1"/>
  <c r="O11" i="24" a="1"/>
  <c r="O11" i="24" s="1"/>
  <c r="O10" i="24" a="1"/>
  <c r="O10" i="24" s="1"/>
  <c r="O45" i="24" a="1"/>
  <c r="O45" i="24" s="1"/>
  <c r="O21" i="24" a="1"/>
  <c r="O21" i="24" s="1"/>
  <c r="O25" i="24" a="1"/>
  <c r="O25" i="24" s="1"/>
  <c r="O4" i="24" a="1"/>
  <c r="O4" i="24" s="1"/>
  <c r="O49" i="24" a="1"/>
  <c r="O49" i="24" s="1"/>
  <c r="O43" i="24" a="1"/>
  <c r="O43" i="24" s="1"/>
  <c r="O51" i="24" a="1"/>
  <c r="O51" i="24" s="1"/>
  <c r="O46" i="24" a="1"/>
  <c r="O46" i="24" s="1"/>
  <c r="O50" i="24" a="1"/>
  <c r="O50" i="24" s="1"/>
  <c r="O48" i="24" a="1"/>
  <c r="O48" i="24" s="1"/>
  <c r="O44" i="24" a="1"/>
  <c r="O44" i="24" s="1"/>
  <c r="O7" i="24" a="1"/>
  <c r="O7" i="24" s="1"/>
  <c r="O26" i="24" a="1"/>
  <c r="O26" i="24" s="1"/>
  <c r="O31" i="24" a="1"/>
  <c r="O31" i="24" s="1"/>
  <c r="O42" i="24" a="1"/>
  <c r="O42" i="24" s="1"/>
  <c r="O41" i="24" a="1"/>
  <c r="O41" i="24" s="1"/>
  <c r="O22" i="24" a="1"/>
  <c r="O22" i="24" s="1"/>
  <c r="O8" i="24" a="1"/>
  <c r="O8" i="24" s="1"/>
  <c r="O27" i="24" a="1"/>
  <c r="O27" i="24" s="1"/>
  <c r="AH29" i="24"/>
  <c r="AI29" i="24" s="1"/>
  <c r="I15" i="8"/>
  <c r="BP11" i="10"/>
  <c r="X17" i="8"/>
  <c r="AC4" i="24"/>
  <c r="AC48" i="24"/>
  <c r="AD48" i="24" s="1"/>
  <c r="AC41" i="24"/>
  <c r="AD41" i="24" s="1"/>
  <c r="AC21" i="24"/>
  <c r="AD21" i="24" s="1"/>
  <c r="AC61" i="24"/>
  <c r="AD61" i="24" s="1"/>
  <c r="AC27" i="24"/>
  <c r="AD27" i="24" s="1"/>
  <c r="AC26" i="24"/>
  <c r="AD26" i="24" s="1"/>
  <c r="AC8" i="24"/>
  <c r="AD8" i="24" s="1"/>
  <c r="AC30" i="24"/>
  <c r="AD30" i="24" s="1"/>
  <c r="AC51" i="24"/>
  <c r="AD51" i="24" s="1"/>
  <c r="AC9" i="24"/>
  <c r="AD9" i="24" s="1"/>
  <c r="AC45" i="24"/>
  <c r="AD45" i="24" s="1"/>
  <c r="AC10" i="24"/>
  <c r="AD10" i="24" s="1"/>
  <c r="AC49" i="24"/>
  <c r="AD49" i="24" s="1"/>
  <c r="AC44" i="24"/>
  <c r="AD44" i="24" s="1"/>
  <c r="AC7" i="24"/>
  <c r="AD7" i="24" s="1"/>
  <c r="AC46" i="24"/>
  <c r="AD46" i="24" s="1"/>
  <c r="AC24" i="24"/>
  <c r="AD24" i="24" s="1"/>
  <c r="AC25" i="24"/>
  <c r="AD25" i="24" s="1"/>
  <c r="AC28" i="24"/>
  <c r="AD28" i="24" s="1"/>
  <c r="AC11" i="24"/>
  <c r="AD11" i="24" s="1"/>
  <c r="AC50" i="24"/>
  <c r="AD50" i="24" s="1"/>
  <c r="AC31" i="24"/>
  <c r="AD31" i="24" s="1"/>
  <c r="X45" i="24"/>
  <c r="Y45" i="24" s="1"/>
  <c r="X43" i="24"/>
  <c r="Y43" i="24" s="1"/>
  <c r="X28" i="24"/>
  <c r="Y28" i="24" s="1"/>
  <c r="X11" i="24"/>
  <c r="Y11" i="24" s="1"/>
  <c r="X31" i="24"/>
  <c r="Y31" i="24" s="1"/>
  <c r="X51" i="24"/>
  <c r="Y51" i="24" s="1"/>
  <c r="X25" i="24"/>
  <c r="Y25" i="24" s="1"/>
  <c r="X48" i="24"/>
  <c r="Y48" i="24" s="1"/>
  <c r="X8" i="24"/>
  <c r="Y8" i="24" s="1"/>
  <c r="X23" i="24"/>
  <c r="Y23" i="24" s="1"/>
  <c r="N46" i="24"/>
  <c r="X46" i="24"/>
  <c r="Y46" i="24" s="1"/>
  <c r="N49" i="24"/>
  <c r="X49" i="24"/>
  <c r="Y49" i="24" s="1"/>
  <c r="N24" i="24"/>
  <c r="X24" i="24"/>
  <c r="Y24" i="24" s="1"/>
  <c r="N44" i="24"/>
  <c r="X44" i="24"/>
  <c r="Y44" i="24" s="1"/>
  <c r="N26" i="24"/>
  <c r="X26" i="24"/>
  <c r="Y26" i="24" s="1"/>
  <c r="N41" i="24"/>
  <c r="X41" i="24"/>
  <c r="Y41" i="24" s="1"/>
  <c r="N61" i="24"/>
  <c r="X61" i="24"/>
  <c r="Y61" i="24" s="1"/>
  <c r="N21" i="24"/>
  <c r="X21" i="24"/>
  <c r="Y21" i="24" s="1"/>
  <c r="N30" i="24"/>
  <c r="X30" i="24"/>
  <c r="Y30" i="24" s="1"/>
  <c r="N50" i="24"/>
  <c r="X50" i="24"/>
  <c r="Y50" i="24" s="1"/>
  <c r="N10" i="24"/>
  <c r="X10" i="24"/>
  <c r="Y10" i="24" s="1"/>
  <c r="N9" i="24"/>
  <c r="X9" i="24"/>
  <c r="Y9" i="24" s="1"/>
  <c r="N27" i="24"/>
  <c r="X27" i="24"/>
  <c r="Y27" i="24" s="1"/>
  <c r="N7" i="24"/>
  <c r="X7" i="24"/>
  <c r="Y7" i="24" s="1"/>
  <c r="N4" i="24"/>
  <c r="X4" i="24"/>
  <c r="Y4" i="24" s="1"/>
  <c r="S2" i="24"/>
  <c r="S22" i="24"/>
  <c r="T22" i="24" s="1"/>
  <c r="S42" i="24"/>
  <c r="T42" i="24" s="1"/>
  <c r="H9" i="8"/>
  <c r="AA6" i="24"/>
  <c r="AA47" i="24"/>
  <c r="AA29" i="24"/>
  <c r="AA5" i="24"/>
  <c r="AA3" i="24"/>
  <c r="V6" i="24"/>
  <c r="V47" i="24"/>
  <c r="V29" i="24"/>
  <c r="V5" i="24"/>
  <c r="V3" i="24"/>
  <c r="D38" i="8"/>
  <c r="AW8" i="10" a="1"/>
  <c r="AW8" i="10" s="1"/>
  <c r="AW4" i="10" a="1"/>
  <c r="AW4" i="10" s="1"/>
  <c r="AW10" i="10" a="1"/>
  <c r="AW10" i="10" s="1"/>
  <c r="AW11" i="10" a="1"/>
  <c r="AW11" i="10" s="1"/>
  <c r="C38" i="8"/>
  <c r="J21" i="44"/>
  <c r="I8" i="44"/>
  <c r="I2" i="44"/>
  <c r="I9" i="44"/>
  <c r="I4" i="44"/>
  <c r="I10" i="44"/>
  <c r="BZ2" i="10"/>
  <c r="AV42" i="24"/>
  <c r="AV22" i="24"/>
  <c r="T28" i="8"/>
  <c r="S8" i="8"/>
  <c r="P28" i="8"/>
  <c r="U8" i="8"/>
  <c r="AM3" i="24"/>
  <c r="E28" i="8"/>
  <c r="AH47" i="24"/>
  <c r="AI47" i="24" s="1"/>
  <c r="J13" i="8"/>
  <c r="H12" i="8"/>
  <c r="F28" i="8"/>
  <c r="D28" i="8"/>
  <c r="G11" i="8"/>
  <c r="X11" i="8" s="1"/>
  <c r="H11" i="8"/>
  <c r="AK5" i="24"/>
  <c r="BN9" i="10"/>
  <c r="BM5" i="10"/>
  <c r="AW5" i="10" s="1" a="1"/>
  <c r="AW5" i="10" s="1"/>
  <c r="BM6" i="10"/>
  <c r="AW6" i="10" s="1" a="1"/>
  <c r="AW6" i="10" s="1"/>
  <c r="G13" i="8"/>
  <c r="BO7" i="10"/>
  <c r="BP10" i="10"/>
  <c r="BM3" i="10"/>
  <c r="BP9" i="10"/>
  <c r="BP6" i="10"/>
  <c r="BP2" i="10"/>
  <c r="N22" i="24"/>
  <c r="BS2" i="10"/>
  <c r="N2" i="24"/>
  <c r="K8" i="8"/>
  <c r="BR2" i="10"/>
  <c r="N25" i="24"/>
  <c r="S25" i="24"/>
  <c r="T25" i="24" s="1"/>
  <c r="N28" i="24"/>
  <c r="S28" i="24"/>
  <c r="T28" i="24" s="1"/>
  <c r="N48" i="24"/>
  <c r="S48" i="24"/>
  <c r="T48" i="24" s="1"/>
  <c r="N31" i="24"/>
  <c r="S31" i="24"/>
  <c r="T31" i="24" s="1"/>
  <c r="N51" i="24"/>
  <c r="S51" i="24"/>
  <c r="T51" i="24" s="1"/>
  <c r="N11" i="24"/>
  <c r="S11" i="24"/>
  <c r="T11" i="24" s="1"/>
  <c r="N8" i="24"/>
  <c r="S8" i="24"/>
  <c r="T8" i="24" s="1"/>
  <c r="N45" i="24"/>
  <c r="S45" i="24"/>
  <c r="T45" i="24" s="1"/>
  <c r="BS11" i="10"/>
  <c r="BT11" i="10"/>
  <c r="BR11" i="10"/>
  <c r="K17" i="8"/>
  <c r="N42" i="24"/>
  <c r="BT2" i="10"/>
  <c r="BP8" i="10"/>
  <c r="N23" i="24"/>
  <c r="S23" i="24"/>
  <c r="T23" i="24" s="1"/>
  <c r="N43" i="24"/>
  <c r="S43" i="24"/>
  <c r="T43" i="24" s="1"/>
  <c r="BP4" i="10"/>
  <c r="BP3" i="10"/>
  <c r="BT4" i="10"/>
  <c r="BT10" i="10"/>
  <c r="BT5" i="10"/>
  <c r="BT6" i="10"/>
  <c r="BT21" i="10"/>
  <c r="BT9" i="10"/>
  <c r="BT8" i="10"/>
  <c r="BT3" i="10"/>
  <c r="BS6" i="10"/>
  <c r="BS4" i="10"/>
  <c r="BS10" i="10"/>
  <c r="BS5" i="10"/>
  <c r="BS3" i="10"/>
  <c r="BS8" i="10"/>
  <c r="BS7" i="10"/>
  <c r="BS21" i="10"/>
  <c r="BR10" i="10"/>
  <c r="BR8" i="10"/>
  <c r="BR21" i="10"/>
  <c r="BR4" i="10"/>
  <c r="BR9" i="10"/>
  <c r="BR7" i="10"/>
  <c r="K10" i="8"/>
  <c r="K16" i="8"/>
  <c r="K14" i="8"/>
  <c r="K27" i="8"/>
  <c r="AM45" i="24" a="1"/>
  <c r="AM5" i="24" a="1"/>
  <c r="AM43" i="24" a="1"/>
  <c r="AM8" i="24" a="1"/>
  <c r="AM28" i="24" a="1"/>
  <c r="AM31" i="24" a="1"/>
  <c r="AM48" i="24" a="1"/>
  <c r="AM51" i="24" a="1"/>
  <c r="AM11" i="24" a="1"/>
  <c r="AM25" i="24" a="1"/>
  <c r="AM26" i="24" a="1"/>
  <c r="AM24" i="24" a="1"/>
  <c r="BR5" i="10" a="1"/>
  <c r="CC2" i="10" a="1"/>
  <c r="AF62" i="24"/>
  <c r="AA62" i="24"/>
  <c r="V62" i="24"/>
  <c r="K9" i="8" a="1"/>
  <c r="BU4" i="10" a="1"/>
  <c r="K12" i="8" a="1"/>
  <c r="BO22" i="10"/>
  <c r="BR6" i="10" a="1"/>
  <c r="K13" i="8" a="1"/>
  <c r="BM22" i="10"/>
  <c r="BU10" i="10" a="1"/>
  <c r="BR3" i="10" a="1"/>
  <c r="BZ22" i="10"/>
  <c r="K11" i="8" a="1"/>
  <c r="BT7" i="10" a="1"/>
  <c r="BU2" i="10" a="1"/>
  <c r="BN22" i="10"/>
  <c r="BU8" i="10" a="1"/>
  <c r="BP7" i="10" a="1"/>
  <c r="BS9" i="10" a="1"/>
  <c r="M62" i="24"/>
  <c r="BP5" i="10" a="1"/>
  <c r="BU21" i="10" a="1"/>
  <c r="K15" i="8" a="1"/>
  <c r="BU11" i="10" a="1"/>
  <c r="K11" i="8" l="1"/>
  <c r="K9" i="8"/>
  <c r="K15" i="8"/>
  <c r="K12" i="8"/>
  <c r="K13" i="8"/>
  <c r="R22" i="24"/>
  <c r="AG22" i="24"/>
  <c r="R42" i="24"/>
  <c r="AG42" i="24"/>
  <c r="BC3" i="10" a="1"/>
  <c r="BC3" i="10" s="1"/>
  <c r="BC13" i="10" a="1"/>
  <c r="BC13" i="10" s="1"/>
  <c r="BC9" i="10" a="1"/>
  <c r="BC9" i="10" s="1"/>
  <c r="BC21" i="10" a="1"/>
  <c r="BC21" i="10" s="1"/>
  <c r="BC20" i="10" a="1"/>
  <c r="BC20" i="10" s="1"/>
  <c r="BC19" i="10" a="1"/>
  <c r="BC19" i="10" s="1"/>
  <c r="BC8" i="10" a="1"/>
  <c r="BC8" i="10" s="1"/>
  <c r="BC7" i="10" a="1"/>
  <c r="BC7" i="10" s="1"/>
  <c r="BC10" i="10" a="1"/>
  <c r="BC10" i="10" s="1"/>
  <c r="BC18" i="10" a="1"/>
  <c r="BC18" i="10" s="1"/>
  <c r="BC2" i="10" a="1"/>
  <c r="BC2" i="10" s="1"/>
  <c r="BC16" i="10" a="1"/>
  <c r="BC16" i="10" s="1"/>
  <c r="BC15" i="10" a="1"/>
  <c r="BC15" i="10" s="1"/>
  <c r="BC6" i="10" a="1"/>
  <c r="BC6" i="10" s="1"/>
  <c r="BC12" i="10" a="1"/>
  <c r="BC12" i="10" s="1"/>
  <c r="BC5" i="10" a="1"/>
  <c r="BC5" i="10" s="1"/>
  <c r="BC4" i="10" a="1"/>
  <c r="BC4" i="10" s="1"/>
  <c r="BC11" i="10" a="1"/>
  <c r="BC11" i="10" s="1"/>
  <c r="BC17" i="10" a="1"/>
  <c r="BC17" i="10" s="1"/>
  <c r="BC14" i="10" a="1"/>
  <c r="BC14" i="10" s="1"/>
  <c r="AK3" i="24"/>
  <c r="AC3" i="24"/>
  <c r="AD3" i="24" s="1"/>
  <c r="U3" i="24"/>
  <c r="AE3" i="24"/>
  <c r="AM24" i="24"/>
  <c r="S5" i="24"/>
  <c r="T5" i="24" s="1"/>
  <c r="AL5" i="24"/>
  <c r="CN9" i="10"/>
  <c r="AJ29" i="24"/>
  <c r="CS11" i="10"/>
  <c r="CS21" i="10"/>
  <c r="CS8" i="10"/>
  <c r="CS9" i="10"/>
  <c r="CS10" i="10"/>
  <c r="CR8" i="10"/>
  <c r="CR11" i="10"/>
  <c r="CR21" i="10"/>
  <c r="CR7" i="10"/>
  <c r="CR10" i="10"/>
  <c r="CQ10" i="10"/>
  <c r="CQ11" i="10"/>
  <c r="CQ7" i="10"/>
  <c r="CQ9" i="10"/>
  <c r="CQ21" i="10"/>
  <c r="CQ8" i="10"/>
  <c r="AJ47" i="24"/>
  <c r="CO7" i="10"/>
  <c r="CM3" i="10"/>
  <c r="CM5" i="10"/>
  <c r="U6" i="24"/>
  <c r="CM6" i="10"/>
  <c r="I28" i="8"/>
  <c r="J28" i="8"/>
  <c r="AM26" i="24"/>
  <c r="AK6" i="24"/>
  <c r="S6" i="24"/>
  <c r="T6" i="24" s="1"/>
  <c r="J9" i="44"/>
  <c r="K7" i="44"/>
  <c r="AW3" i="10" a="1"/>
  <c r="AW3" i="10" s="1"/>
  <c r="T2" i="24"/>
  <c r="AD4" i="24"/>
  <c r="Z3" i="24"/>
  <c r="AJ3" i="24"/>
  <c r="Z47" i="24"/>
  <c r="AE47" i="24"/>
  <c r="Z29" i="24"/>
  <c r="AE29" i="24"/>
  <c r="Z6" i="24"/>
  <c r="AE6" i="24"/>
  <c r="Z5" i="24"/>
  <c r="AE5" i="24"/>
  <c r="P49" i="24"/>
  <c r="AJ49" i="24" s="1"/>
  <c r="P4" i="24"/>
  <c r="P25" i="24"/>
  <c r="P21" i="24"/>
  <c r="P45" i="24"/>
  <c r="U45" i="24" s="1"/>
  <c r="AL45" i="24" s="1"/>
  <c r="P10" i="24"/>
  <c r="AJ10" i="24" s="1"/>
  <c r="P11" i="24"/>
  <c r="AJ11" i="24" s="1"/>
  <c r="P28" i="24"/>
  <c r="P27" i="24"/>
  <c r="P23" i="24"/>
  <c r="AE23" i="24" s="1"/>
  <c r="P8" i="24"/>
  <c r="AJ8" i="24" s="1"/>
  <c r="P2" i="24"/>
  <c r="AJ2" i="24" s="1"/>
  <c r="P22" i="24"/>
  <c r="AJ22" i="24" s="1"/>
  <c r="P30" i="24"/>
  <c r="P41" i="24"/>
  <c r="CN21" i="10" s="1"/>
  <c r="P61" i="24"/>
  <c r="P42" i="24"/>
  <c r="AJ42" i="24" s="1"/>
  <c r="P9" i="24"/>
  <c r="AJ9" i="24" s="1"/>
  <c r="P31" i="24"/>
  <c r="P24" i="24"/>
  <c r="AJ24" i="24" s="1"/>
  <c r="P26" i="24"/>
  <c r="P7" i="24"/>
  <c r="P44" i="24"/>
  <c r="P48" i="24"/>
  <c r="AJ48" i="24" s="1"/>
  <c r="P50" i="24"/>
  <c r="AJ50" i="24" s="1"/>
  <c r="P46" i="24"/>
  <c r="P51" i="24"/>
  <c r="AJ51" i="24" s="1"/>
  <c r="P43" i="24"/>
  <c r="X29" i="24"/>
  <c r="Y29" i="24" s="1"/>
  <c r="AH3" i="24"/>
  <c r="N29" i="24"/>
  <c r="AC29" i="24"/>
  <c r="AD29" i="24" s="1"/>
  <c r="BS9" i="10"/>
  <c r="AC5" i="24"/>
  <c r="AC6" i="24"/>
  <c r="AD6" i="24" s="1"/>
  <c r="AC47" i="24"/>
  <c r="AD47" i="24" s="1"/>
  <c r="N5" i="24"/>
  <c r="X5" i="24"/>
  <c r="Y5" i="24" s="1"/>
  <c r="S3" i="24"/>
  <c r="X3" i="24"/>
  <c r="N6" i="24"/>
  <c r="X6" i="24"/>
  <c r="Y6" i="24" s="1"/>
  <c r="N47" i="24"/>
  <c r="X47" i="24"/>
  <c r="Y47" i="24" s="1"/>
  <c r="N3" i="24"/>
  <c r="BR3" i="10"/>
  <c r="AB22" i="24"/>
  <c r="AB42" i="24"/>
  <c r="BG2" i="10" a="1"/>
  <c r="BG2" i="10" s="1"/>
  <c r="BG18" i="10" a="1"/>
  <c r="BG18" i="10" s="1"/>
  <c r="BG3" i="10" a="1"/>
  <c r="BG3" i="10" s="1"/>
  <c r="BG12" i="10" a="1"/>
  <c r="BG12" i="10" s="1"/>
  <c r="BG15" i="10" a="1"/>
  <c r="BG15" i="10" s="1"/>
  <c r="BG21" i="10" a="1"/>
  <c r="BG21" i="10" s="1"/>
  <c r="BG14" i="10" a="1"/>
  <c r="BG14" i="10" s="1"/>
  <c r="BG20" i="10" a="1"/>
  <c r="BG20" i="10" s="1"/>
  <c r="BG19" i="10" a="1"/>
  <c r="BG19" i="10" s="1"/>
  <c r="BG11" i="10" a="1"/>
  <c r="BG11" i="10" s="1"/>
  <c r="BG9" i="10" a="1"/>
  <c r="BG9" i="10" s="1"/>
  <c r="BG5" i="10" a="1"/>
  <c r="BG5" i="10" s="1"/>
  <c r="BG4" i="10" a="1"/>
  <c r="BG4" i="10" s="1"/>
  <c r="BG8" i="10" a="1"/>
  <c r="BG8" i="10" s="1"/>
  <c r="BG16" i="10" a="1"/>
  <c r="BG16" i="10" s="1"/>
  <c r="BG10" i="10" a="1"/>
  <c r="BG10" i="10" s="1"/>
  <c r="BG6" i="10" a="1"/>
  <c r="BG6" i="10" s="1"/>
  <c r="BG17" i="10" a="1"/>
  <c r="BG17" i="10" s="1"/>
  <c r="BG13" i="10" a="1"/>
  <c r="BG13" i="10" s="1"/>
  <c r="BG7" i="10" a="1"/>
  <c r="BG7" i="10" s="1"/>
  <c r="AW2" i="10" a="1"/>
  <c r="AW2" i="10" s="1"/>
  <c r="AW7" i="10" a="1"/>
  <c r="AW7" i="10" s="1"/>
  <c r="AW9" i="10" a="1"/>
  <c r="AW9" i="10" s="1"/>
  <c r="W22" i="24"/>
  <c r="AM42" i="24" a="1"/>
  <c r="AM42" i="24" s="1"/>
  <c r="W42" i="24"/>
  <c r="Q2" i="44"/>
  <c r="I3" i="44"/>
  <c r="I6" i="44"/>
  <c r="I5" i="44"/>
  <c r="CC2" i="10"/>
  <c r="AV2" i="24"/>
  <c r="AG2" i="24" s="1"/>
  <c r="S28" i="8"/>
  <c r="X8" i="8"/>
  <c r="T8" i="8"/>
  <c r="AM43" i="24"/>
  <c r="BR6" i="10"/>
  <c r="BT7" i="10"/>
  <c r="BR5" i="10"/>
  <c r="BP5" i="10"/>
  <c r="BK13" i="10" s="1"/>
  <c r="G28" i="8"/>
  <c r="H28" i="8"/>
  <c r="BP7" i="10"/>
  <c r="BJ21" i="10" s="1"/>
  <c r="AM25" i="24"/>
  <c r="AM5" i="24"/>
  <c r="AM45" i="24"/>
  <c r="AM48" i="24"/>
  <c r="AM51" i="24"/>
  <c r="AM31" i="24"/>
  <c r="AM8" i="24"/>
  <c r="AM11" i="24"/>
  <c r="AM28" i="24"/>
  <c r="BU2" i="10"/>
  <c r="BU11" i="10"/>
  <c r="BU10" i="10"/>
  <c r="BU4" i="10"/>
  <c r="BU8" i="10"/>
  <c r="BU21" i="10"/>
  <c r="AM6" i="24" a="1"/>
  <c r="AM23" i="24" a="1"/>
  <c r="AM22" i="24" a="1"/>
  <c r="BU9" i="10" a="1"/>
  <c r="BU6" i="10" a="1"/>
  <c r="S62" i="24"/>
  <c r="AC62" i="24"/>
  <c r="P62" i="24"/>
  <c r="AG62" i="24"/>
  <c r="BU7" i="10" a="1"/>
  <c r="CC22" i="10"/>
  <c r="BT22" i="10"/>
  <c r="AH62" i="24"/>
  <c r="AV62" i="24"/>
  <c r="CD2" i="10" a="1"/>
  <c r="BP22" i="10"/>
  <c r="BS22" i="10"/>
  <c r="X62" i="24"/>
  <c r="N62" i="24"/>
  <c r="BU5" i="10" a="1"/>
  <c r="BR22" i="10"/>
  <c r="BU3" i="10" a="1"/>
  <c r="AK62" i="24"/>
  <c r="K28" i="8" l="1"/>
  <c r="BU5" i="10"/>
  <c r="BU7" i="10"/>
  <c r="CT7" i="10" s="1"/>
  <c r="CH7" i="10" s="1"/>
  <c r="BU6" i="10"/>
  <c r="BU9" i="10"/>
  <c r="CT9" i="10" s="1"/>
  <c r="CH9" i="10" s="1"/>
  <c r="BU3" i="10"/>
  <c r="AY2" i="10" a="1"/>
  <c r="AY2" i="10" s="1"/>
  <c r="CI18" i="10"/>
  <c r="CK18" i="10" s="1" a="1"/>
  <c r="CK18" i="10" s="1"/>
  <c r="CI19" i="10"/>
  <c r="CK19" i="10" s="1" a="1"/>
  <c r="CK19" i="10" s="1"/>
  <c r="CI5" i="10"/>
  <c r="CK5" i="10" s="1" a="1"/>
  <c r="CK5" i="10" s="1"/>
  <c r="CI10" i="10"/>
  <c r="CK10" i="10" s="1" a="1"/>
  <c r="CK10" i="10" s="1"/>
  <c r="CI3" i="10"/>
  <c r="CK3" i="10" s="1" a="1"/>
  <c r="CK3" i="10" s="1"/>
  <c r="CI12" i="10"/>
  <c r="CK12" i="10" s="1" a="1"/>
  <c r="CK12" i="10" s="1"/>
  <c r="CI6" i="10"/>
  <c r="CK6" i="10" s="1" a="1"/>
  <c r="CK6" i="10" s="1"/>
  <c r="CI7" i="10"/>
  <c r="CK7" i="10" s="1" a="1"/>
  <c r="CK7" i="10" s="1"/>
  <c r="CI14" i="10"/>
  <c r="CK14" i="10" s="1" a="1"/>
  <c r="CK14" i="10" s="1"/>
  <c r="CI11" i="10"/>
  <c r="CK11" i="10" s="1" a="1"/>
  <c r="CK11" i="10" s="1"/>
  <c r="CI21" i="10"/>
  <c r="CK21" i="10" s="1" a="1"/>
  <c r="CK21" i="10" s="1"/>
  <c r="CI4" i="10"/>
  <c r="CK4" i="10" s="1" a="1"/>
  <c r="CK4" i="10" s="1"/>
  <c r="CI20" i="10"/>
  <c r="CK20" i="10" s="1" a="1"/>
  <c r="CK20" i="10" s="1"/>
  <c r="CI9" i="10"/>
  <c r="CK9" i="10" s="1" a="1"/>
  <c r="CK9" i="10" s="1"/>
  <c r="CI15" i="10"/>
  <c r="CK15" i="10" s="1" a="1"/>
  <c r="CK15" i="10" s="1"/>
  <c r="CI2" i="10"/>
  <c r="CK2" i="10" s="1" a="1"/>
  <c r="CK2" i="10" s="1"/>
  <c r="CI8" i="10"/>
  <c r="CK8" i="10" s="1" a="1"/>
  <c r="CK8" i="10" s="1"/>
  <c r="CI16" i="10"/>
  <c r="CK16" i="10" s="1" a="1"/>
  <c r="CK16" i="10" s="1"/>
  <c r="CI17" i="10"/>
  <c r="CK17" i="10" s="1" a="1"/>
  <c r="CK17" i="10" s="1"/>
  <c r="CI13" i="10"/>
  <c r="CK13" i="10" s="1" a="1"/>
  <c r="CK13" i="10" s="1"/>
  <c r="AZ11" i="10" a="1"/>
  <c r="AZ11" i="10" s="1"/>
  <c r="AZ14" i="10" a="1"/>
  <c r="AZ14" i="10" s="1"/>
  <c r="AZ20" i="10" a="1"/>
  <c r="AZ20" i="10" s="1"/>
  <c r="AZ13" i="10" a="1"/>
  <c r="AZ13" i="10" s="1"/>
  <c r="AZ7" i="10" a="1"/>
  <c r="AZ7" i="10" s="1"/>
  <c r="AZ8" i="10" a="1"/>
  <c r="AZ8" i="10" s="1"/>
  <c r="AZ9" i="10" a="1"/>
  <c r="AZ9" i="10" s="1"/>
  <c r="AZ19" i="10" a="1"/>
  <c r="AZ19" i="10" s="1"/>
  <c r="AZ21" i="10" a="1"/>
  <c r="AZ21" i="10" s="1"/>
  <c r="AZ15" i="10" a="1"/>
  <c r="AZ15" i="10" s="1"/>
  <c r="AZ12" i="10" a="1"/>
  <c r="AZ12" i="10" s="1"/>
  <c r="AZ3" i="10" a="1"/>
  <c r="AZ3" i="10" s="1"/>
  <c r="AZ18" i="10" a="1"/>
  <c r="AZ18" i="10" s="1"/>
  <c r="AZ2" i="10" a="1"/>
  <c r="AZ2" i="10" s="1"/>
  <c r="AZ17" i="10" a="1"/>
  <c r="AZ17" i="10" s="1"/>
  <c r="AZ6" i="10" a="1"/>
  <c r="AZ6" i="10" s="1"/>
  <c r="AZ10" i="10" a="1"/>
  <c r="AZ10" i="10" s="1"/>
  <c r="AZ16" i="10" a="1"/>
  <c r="AZ16" i="10" s="1"/>
  <c r="AZ4" i="10" a="1"/>
  <c r="AZ4" i="10" s="1"/>
  <c r="AZ5" i="10" a="1"/>
  <c r="AZ5" i="10" s="1"/>
  <c r="AL3" i="24"/>
  <c r="U4" i="24"/>
  <c r="AL4" i="24" s="1"/>
  <c r="AJ4" i="24"/>
  <c r="U44" i="24"/>
  <c r="AL44" i="24" s="1"/>
  <c r="AJ44" i="24"/>
  <c r="Z22" i="24"/>
  <c r="AE22" i="24"/>
  <c r="U43" i="24"/>
  <c r="AL43" i="24" s="1"/>
  <c r="AE43" i="24"/>
  <c r="Z2" i="24"/>
  <c r="AE2" i="24"/>
  <c r="Z42" i="24"/>
  <c r="AE42" i="24"/>
  <c r="BK11" i="10"/>
  <c r="BK14" i="10"/>
  <c r="BK6" i="10"/>
  <c r="BK15" i="10"/>
  <c r="BK5" i="10"/>
  <c r="BK21" i="10"/>
  <c r="BL21" i="10" s="1" a="1"/>
  <c r="BL21" i="10" s="1"/>
  <c r="BK7" i="10"/>
  <c r="AM6" i="24"/>
  <c r="BK9" i="10"/>
  <c r="BK3" i="10"/>
  <c r="BK10" i="10"/>
  <c r="BK8" i="10"/>
  <c r="BK2" i="10"/>
  <c r="BK4" i="10"/>
  <c r="CN3" i="10"/>
  <c r="CR3" i="10" s="1"/>
  <c r="CF3" i="10" s="1"/>
  <c r="U23" i="24"/>
  <c r="AL23" i="24" s="1"/>
  <c r="CN8" i="10"/>
  <c r="AJ28" i="24"/>
  <c r="CN4" i="10"/>
  <c r="CR4" i="10" s="1"/>
  <c r="AU4" i="10" s="1"/>
  <c r="U24" i="24"/>
  <c r="AL24" i="24" s="1"/>
  <c r="CN11" i="10"/>
  <c r="AJ31" i="24"/>
  <c r="CN10" i="10"/>
  <c r="AJ30" i="24"/>
  <c r="BK20" i="10"/>
  <c r="BK19" i="10"/>
  <c r="CN5" i="10"/>
  <c r="CR5" i="10" s="1"/>
  <c r="AU5" i="10" s="1"/>
  <c r="U25" i="24"/>
  <c r="AL25" i="24" s="1"/>
  <c r="BK16" i="10"/>
  <c r="BK17" i="10"/>
  <c r="BK12" i="10"/>
  <c r="BK18" i="10"/>
  <c r="AV10" i="10"/>
  <c r="CG10" i="10"/>
  <c r="AV9" i="10"/>
  <c r="CG9" i="10"/>
  <c r="AV8" i="10"/>
  <c r="CG8" i="10"/>
  <c r="AV21" i="10"/>
  <c r="CG21" i="10"/>
  <c r="AV11" i="10"/>
  <c r="CG11" i="10"/>
  <c r="AU7" i="10"/>
  <c r="CF7" i="10"/>
  <c r="AU21" i="10"/>
  <c r="CF21" i="10"/>
  <c r="AU11" i="10"/>
  <c r="CF11" i="10"/>
  <c r="AU8" i="10"/>
  <c r="CF8" i="10"/>
  <c r="AU10" i="10"/>
  <c r="CF10" i="10"/>
  <c r="AT9" i="10"/>
  <c r="CE9" i="10"/>
  <c r="AT10" i="10"/>
  <c r="CE10" i="10"/>
  <c r="AT21" i="10"/>
  <c r="CE21" i="10"/>
  <c r="AT8" i="10"/>
  <c r="CE8" i="10"/>
  <c r="AT7" i="10"/>
  <c r="CE7" i="10"/>
  <c r="AT11" i="10"/>
  <c r="CE11" i="10"/>
  <c r="CT11" i="10"/>
  <c r="CH11" i="10" s="1"/>
  <c r="CT21" i="10"/>
  <c r="CH21" i="10" s="1"/>
  <c r="CT8" i="10"/>
  <c r="CH8" i="10" s="1"/>
  <c r="CT10" i="10"/>
  <c r="CH10" i="10" s="1"/>
  <c r="CS7" i="10"/>
  <c r="CR9" i="10"/>
  <c r="CQ6" i="10"/>
  <c r="CQ5" i="10"/>
  <c r="CQ3" i="10"/>
  <c r="CP2" i="10"/>
  <c r="CT2" i="10" s="1"/>
  <c r="CH2" i="10" s="1"/>
  <c r="CP8" i="10"/>
  <c r="CP4" i="10"/>
  <c r="CT4" i="10" s="1"/>
  <c r="CH4" i="10" s="1"/>
  <c r="CP6" i="10"/>
  <c r="CP9" i="10"/>
  <c r="CP3" i="10"/>
  <c r="CP11" i="10"/>
  <c r="CP10" i="10"/>
  <c r="CP21" i="10"/>
  <c r="CP7" i="10"/>
  <c r="CP5" i="10"/>
  <c r="CO5" i="10"/>
  <c r="CS5" i="10" s="1"/>
  <c r="AV5" i="10" s="1"/>
  <c r="CO3" i="10"/>
  <c r="CS3" i="10" s="1"/>
  <c r="AV3" i="10" s="1"/>
  <c r="CO11" i="10"/>
  <c r="CO10" i="10"/>
  <c r="CO8" i="10"/>
  <c r="CO4" i="10"/>
  <c r="CS4" i="10" s="1"/>
  <c r="CG4" i="10" s="1"/>
  <c r="CO9" i="10"/>
  <c r="CO21" i="10"/>
  <c r="U46" i="24"/>
  <c r="AL46" i="24" s="1"/>
  <c r="CO6" i="10"/>
  <c r="U42" i="24"/>
  <c r="AL42" i="24" s="1"/>
  <c r="CO2" i="10"/>
  <c r="U26" i="24"/>
  <c r="AL26" i="24" s="1"/>
  <c r="CN6" i="10"/>
  <c r="AJ27" i="24"/>
  <c r="CN7" i="10"/>
  <c r="U22" i="24"/>
  <c r="AL22" i="24" s="1"/>
  <c r="CN2" i="10"/>
  <c r="CM2" i="10"/>
  <c r="CM8" i="10"/>
  <c r="CM11" i="10"/>
  <c r="CM10" i="10"/>
  <c r="CM9" i="10"/>
  <c r="CM21" i="10"/>
  <c r="CM4" i="10"/>
  <c r="CQ4" i="10" s="1"/>
  <c r="AT4" i="10" s="1"/>
  <c r="AJ7" i="24"/>
  <c r="CM7" i="10"/>
  <c r="AL6" i="24"/>
  <c r="CX5" i="10"/>
  <c r="CX8" i="10"/>
  <c r="CX7" i="10"/>
  <c r="CX10" i="10"/>
  <c r="CX6" i="10"/>
  <c r="CX15" i="10"/>
  <c r="CX20" i="10"/>
  <c r="CX21" i="10"/>
  <c r="CX3" i="10"/>
  <c r="CX14" i="10"/>
  <c r="CX19" i="10"/>
  <c r="CX2" i="10"/>
  <c r="CX4" i="10"/>
  <c r="CX12" i="10"/>
  <c r="CX9" i="10"/>
  <c r="CX16" i="10"/>
  <c r="CX18" i="10"/>
  <c r="CX11" i="10"/>
  <c r="CX13" i="10"/>
  <c r="CX17" i="10"/>
  <c r="CW8" i="10"/>
  <c r="CW11" i="10"/>
  <c r="CW4" i="10"/>
  <c r="CW21" i="10"/>
  <c r="CW13" i="10"/>
  <c r="CW18" i="10"/>
  <c r="CW12" i="10"/>
  <c r="CW5" i="10"/>
  <c r="CW17" i="10"/>
  <c r="CW16" i="10"/>
  <c r="CW10" i="10"/>
  <c r="CW15" i="10"/>
  <c r="CW9" i="10"/>
  <c r="CW20" i="10"/>
  <c r="CW6" i="10"/>
  <c r="CW14" i="10"/>
  <c r="CW19" i="10"/>
  <c r="CW3" i="10"/>
  <c r="CW7" i="10"/>
  <c r="CW2" i="10"/>
  <c r="CU2" i="10"/>
  <c r="CU4" i="10"/>
  <c r="CU5" i="10"/>
  <c r="CU9" i="10"/>
  <c r="CU10" i="10"/>
  <c r="CU11" i="10"/>
  <c r="CU12" i="10"/>
  <c r="CU13" i="10"/>
  <c r="CU14" i="10"/>
  <c r="CU15" i="10"/>
  <c r="CU16" i="10"/>
  <c r="CU17" i="10"/>
  <c r="CU18" i="10"/>
  <c r="CU19" i="10"/>
  <c r="CU20" i="10"/>
  <c r="CU21" i="10"/>
  <c r="CU3" i="10"/>
  <c r="CU6" i="10"/>
  <c r="CU7" i="10"/>
  <c r="CU8" i="10"/>
  <c r="BJ16" i="10"/>
  <c r="BJ14" i="10"/>
  <c r="BJ11" i="10"/>
  <c r="BJ13" i="10"/>
  <c r="BL13" i="10" s="1" a="1"/>
  <c r="BL13" i="10" s="1"/>
  <c r="BJ8" i="10"/>
  <c r="BJ19" i="10"/>
  <c r="E33" i="29"/>
  <c r="D33" i="29" s="1"/>
  <c r="F33" i="29" s="1"/>
  <c r="BJ7" i="10"/>
  <c r="BJ10" i="10"/>
  <c r="BJ20" i="10"/>
  <c r="BJ18" i="10"/>
  <c r="BJ12" i="10"/>
  <c r="BJ4" i="10"/>
  <c r="BJ17" i="10"/>
  <c r="BJ2" i="10"/>
  <c r="BJ15" i="10"/>
  <c r="BJ6" i="10"/>
  <c r="BJ9" i="10"/>
  <c r="BJ5" i="10"/>
  <c r="BJ3" i="10"/>
  <c r="R2" i="24"/>
  <c r="T3" i="24"/>
  <c r="AI3" i="24"/>
  <c r="Y3" i="24"/>
  <c r="AD5" i="24"/>
  <c r="U2" i="24"/>
  <c r="Z23" i="24"/>
  <c r="AJ23" i="24"/>
  <c r="Z43" i="24"/>
  <c r="AJ43" i="24"/>
  <c r="Z28" i="24"/>
  <c r="AE28" i="24"/>
  <c r="Z11" i="24"/>
  <c r="AE11" i="24"/>
  <c r="Z30" i="24"/>
  <c r="AE30" i="24"/>
  <c r="Z44" i="24"/>
  <c r="AE44" i="24"/>
  <c r="Z24" i="24"/>
  <c r="AE24" i="24"/>
  <c r="Z10" i="24"/>
  <c r="AE10" i="24"/>
  <c r="Z45" i="24"/>
  <c r="AE45" i="24"/>
  <c r="Z21" i="24"/>
  <c r="AE21" i="24"/>
  <c r="Z25" i="24"/>
  <c r="AE25" i="24"/>
  <c r="Z26" i="24"/>
  <c r="AE26" i="24"/>
  <c r="Z31" i="24"/>
  <c r="AE31" i="24"/>
  <c r="Z27" i="24"/>
  <c r="AE27" i="24"/>
  <c r="Z51" i="24"/>
  <c r="AE51" i="24"/>
  <c r="Z46" i="24"/>
  <c r="AE46" i="24"/>
  <c r="Z7" i="24"/>
  <c r="AE7" i="24"/>
  <c r="Z8" i="24"/>
  <c r="AE8" i="24"/>
  <c r="Z48" i="24"/>
  <c r="AE48" i="24"/>
  <c r="Z4" i="24"/>
  <c r="AE4" i="24"/>
  <c r="Z49" i="24"/>
  <c r="AE49" i="24"/>
  <c r="Z9" i="24"/>
  <c r="AE9" i="24"/>
  <c r="Z61" i="24"/>
  <c r="AE61" i="24"/>
  <c r="Z50" i="24"/>
  <c r="AE50" i="24"/>
  <c r="Z41" i="24"/>
  <c r="AE41" i="24"/>
  <c r="AM23" i="24"/>
  <c r="AB2" i="24"/>
  <c r="BH19" i="10"/>
  <c r="BH20" i="10"/>
  <c r="BH21" i="10"/>
  <c r="BH2" i="10"/>
  <c r="BH7" i="10"/>
  <c r="BH8" i="10"/>
  <c r="BH9" i="10"/>
  <c r="BH10" i="10"/>
  <c r="BH12" i="10"/>
  <c r="BH13" i="10"/>
  <c r="BH14" i="10"/>
  <c r="BH16" i="10"/>
  <c r="BH17" i="10"/>
  <c r="BH3" i="10"/>
  <c r="BH18" i="10"/>
  <c r="BH4" i="10"/>
  <c r="BH5" i="10"/>
  <c r="BH6" i="10"/>
  <c r="BH11" i="10"/>
  <c r="BH15" i="10"/>
  <c r="AM22" i="24"/>
  <c r="W2" i="24"/>
  <c r="CD2" i="10"/>
  <c r="BG22" i="10"/>
  <c r="CJ17" i="10"/>
  <c r="CL17" i="10" s="1" a="1"/>
  <c r="CL17" i="10" s="1"/>
  <c r="CJ3" i="10"/>
  <c r="CL3" i="10" s="1" a="1"/>
  <c r="CL3" i="10" s="1"/>
  <c r="CJ15" i="10"/>
  <c r="CL15" i="10" s="1" a="1"/>
  <c r="CL15" i="10" s="1"/>
  <c r="CJ18" i="10"/>
  <c r="CL18" i="10" s="1" a="1"/>
  <c r="CL18" i="10" s="1"/>
  <c r="CJ14" i="10"/>
  <c r="CL14" i="10" s="1" a="1"/>
  <c r="CL14" i="10" s="1"/>
  <c r="CJ11" i="10"/>
  <c r="CL11" i="10" s="1" a="1"/>
  <c r="CL11" i="10" s="1"/>
  <c r="CJ2" i="10"/>
  <c r="CL2" i="10" s="1" a="1"/>
  <c r="CL2" i="10" s="1"/>
  <c r="CJ21" i="10"/>
  <c r="CL21" i="10" s="1" a="1"/>
  <c r="CL21" i="10" s="1"/>
  <c r="CJ19" i="10"/>
  <c r="CL19" i="10" s="1" a="1"/>
  <c r="CL19" i="10" s="1"/>
  <c r="CJ16" i="10"/>
  <c r="CL16" i="10" s="1" a="1"/>
  <c r="CL16" i="10" s="1"/>
  <c r="CJ9" i="10"/>
  <c r="CL9" i="10" s="1" a="1"/>
  <c r="CL9" i="10" s="1"/>
  <c r="CJ4" i="10"/>
  <c r="CL4" i="10" s="1" a="1"/>
  <c r="CL4" i="10" s="1"/>
  <c r="CJ6" i="10"/>
  <c r="CL6" i="10" s="1" a="1"/>
  <c r="CL6" i="10" s="1"/>
  <c r="CJ10" i="10"/>
  <c r="CL10" i="10" s="1" a="1"/>
  <c r="CL10" i="10" s="1"/>
  <c r="CJ13" i="10"/>
  <c r="CL13" i="10" s="1" a="1"/>
  <c r="CL13" i="10" s="1"/>
  <c r="CJ12" i="10"/>
  <c r="CL12" i="10" s="1" a="1"/>
  <c r="CL12" i="10" s="1"/>
  <c r="CJ20" i="10"/>
  <c r="CL20" i="10" s="1" a="1"/>
  <c r="CL20" i="10" s="1"/>
  <c r="CJ7" i="10"/>
  <c r="CL7" i="10" s="1" a="1"/>
  <c r="CL7" i="10" s="1"/>
  <c r="CJ8" i="10"/>
  <c r="CL8" i="10" s="1" a="1"/>
  <c r="CL8" i="10" s="1"/>
  <c r="CJ5" i="10"/>
  <c r="CL5" i="10" s="1" a="1"/>
  <c r="CL5" i="10" s="1"/>
  <c r="BC22" i="10"/>
  <c r="AW22" i="10"/>
  <c r="AM2" i="24" a="1"/>
  <c r="C48" i="8" a="1"/>
  <c r="D48" i="8" a="1"/>
  <c r="AE62" i="24"/>
  <c r="C54" i="8" a="1"/>
  <c r="Y62" i="24"/>
  <c r="CI22" i="10"/>
  <c r="R62" i="24"/>
  <c r="D54" i="8" a="1"/>
  <c r="AJ62" i="24"/>
  <c r="CU22" i="10"/>
  <c r="AD62" i="24"/>
  <c r="CP22" i="10"/>
  <c r="CM22" i="10"/>
  <c r="CW22" i="10"/>
  <c r="Z62" i="24"/>
  <c r="BU22" i="10"/>
  <c r="T62" i="24"/>
  <c r="CX22" i="10"/>
  <c r="W62" i="24"/>
  <c r="D42" i="8" a="1"/>
  <c r="CL22" i="10"/>
  <c r="CO22" i="10"/>
  <c r="AB62" i="24"/>
  <c r="U62" i="24"/>
  <c r="CJ22" i="10"/>
  <c r="C42" i="8" a="1"/>
  <c r="CD22" i="10"/>
  <c r="AI62" i="24"/>
  <c r="CN22" i="10"/>
  <c r="CT3" i="10" l="1"/>
  <c r="CH3" i="10" s="1"/>
  <c r="CT6" i="10"/>
  <c r="CH6" i="10" s="1"/>
  <c r="CT5" i="10"/>
  <c r="BL2" i="10" a="1"/>
  <c r="BL2" i="10" s="1"/>
  <c r="BL19" i="10" a="1"/>
  <c r="BL19" i="10" s="1"/>
  <c r="BL11" i="10" a="1"/>
  <c r="BL11" i="10" s="1"/>
  <c r="BL4" i="10" a="1"/>
  <c r="BL4" i="10" s="1"/>
  <c r="BL20" i="10" a="1"/>
  <c r="BL20" i="10" s="1"/>
  <c r="BL8" i="10" a="1"/>
  <c r="BL8" i="10" s="1"/>
  <c r="BL12" i="10" a="1"/>
  <c r="BL12" i="10" s="1"/>
  <c r="BL10" i="10" a="1"/>
  <c r="BL10" i="10" s="1"/>
  <c r="BL9" i="10" a="1"/>
  <c r="BL9" i="10" s="1"/>
  <c r="BL18" i="10" a="1"/>
  <c r="BL18" i="10" s="1"/>
  <c r="BL7" i="10" a="1"/>
  <c r="BL7" i="10" s="1"/>
  <c r="BL14" i="10" a="1"/>
  <c r="BL14" i="10" s="1"/>
  <c r="BL16" i="10" a="1"/>
  <c r="BL16" i="10" s="1"/>
  <c r="BL3" i="10" a="1"/>
  <c r="BL3" i="10" s="1"/>
  <c r="BL5" i="10" a="1"/>
  <c r="BL5" i="10" s="1"/>
  <c r="BL6" i="10" a="1"/>
  <c r="BL6" i="10" s="1"/>
  <c r="BL15" i="10" a="1"/>
  <c r="BL15" i="10" s="1"/>
  <c r="BL17" i="10" a="1"/>
  <c r="BL17" i="10" s="1"/>
  <c r="BE14" i="10" a="1"/>
  <c r="BE14" i="10" s="1"/>
  <c r="AU3" i="10"/>
  <c r="AV4" i="10"/>
  <c r="CG5" i="10"/>
  <c r="CE4" i="10"/>
  <c r="CG3" i="10"/>
  <c r="CF5" i="10"/>
  <c r="CF4" i="10"/>
  <c r="AV7" i="10"/>
  <c r="CG7" i="10"/>
  <c r="AU9" i="10"/>
  <c r="CF9" i="10"/>
  <c r="AT3" i="10"/>
  <c r="CE3" i="10"/>
  <c r="AT5" i="10"/>
  <c r="CE5" i="10"/>
  <c r="AT6" i="10"/>
  <c r="CE6" i="10"/>
  <c r="CS2" i="10"/>
  <c r="CS6" i="10"/>
  <c r="CR6" i="10"/>
  <c r="CR2" i="10"/>
  <c r="CQ2" i="10"/>
  <c r="CY8" i="10"/>
  <c r="CY3" i="10"/>
  <c r="CY11" i="10"/>
  <c r="CY4" i="10"/>
  <c r="CY5" i="10"/>
  <c r="CY10" i="10"/>
  <c r="AL2" i="24"/>
  <c r="CV2" i="10"/>
  <c r="CV3" i="10"/>
  <c r="CV5" i="10"/>
  <c r="CV13" i="10"/>
  <c r="CV14" i="10"/>
  <c r="CV10" i="10"/>
  <c r="CV17" i="10"/>
  <c r="CV18" i="10"/>
  <c r="CV21" i="10"/>
  <c r="CV4" i="10"/>
  <c r="CV6" i="10"/>
  <c r="CV7" i="10"/>
  <c r="CV11" i="10"/>
  <c r="CV8" i="10"/>
  <c r="CV9" i="10"/>
  <c r="CV12" i="10"/>
  <c r="CV15" i="10"/>
  <c r="CV16" i="10"/>
  <c r="CV19" i="10"/>
  <c r="CV20" i="10"/>
  <c r="CY19" i="10"/>
  <c r="CY12" i="10"/>
  <c r="CY18" i="10"/>
  <c r="CY16" i="10"/>
  <c r="CY2" i="10"/>
  <c r="CY7" i="10"/>
  <c r="CY17" i="10"/>
  <c r="CY14" i="10"/>
  <c r="CY6" i="10"/>
  <c r="CY20" i="10"/>
  <c r="CY9" i="10"/>
  <c r="CY13" i="10"/>
  <c r="CY15" i="10"/>
  <c r="CY21" i="10"/>
  <c r="E28" i="29"/>
  <c r="D28" i="29" s="1"/>
  <c r="AM2" i="24"/>
  <c r="BH22" i="10"/>
  <c r="D42" i="8"/>
  <c r="D54" i="8"/>
  <c r="D48" i="8"/>
  <c r="C42" i="8"/>
  <c r="C54" i="8"/>
  <c r="C48" i="8"/>
  <c r="AY22" i="10"/>
  <c r="AX2" i="10"/>
  <c r="E27" i="29"/>
  <c r="D27" i="29" s="1"/>
  <c r="BA7" i="10" a="1"/>
  <c r="BA7" i="10" s="1"/>
  <c r="BA9" i="10" a="1"/>
  <c r="BA9" i="10" s="1"/>
  <c r="BA10" i="10" a="1"/>
  <c r="BA10" i="10" s="1"/>
  <c r="BA11" i="10" a="1"/>
  <c r="BA11" i="10" s="1"/>
  <c r="BA6" i="10" a="1"/>
  <c r="BA6" i="10" s="1"/>
  <c r="BA13" i="10" a="1"/>
  <c r="BA13" i="10" s="1"/>
  <c r="BA16" i="10" a="1"/>
  <c r="BA16" i="10" s="1"/>
  <c r="BA14" i="10" a="1"/>
  <c r="BA14" i="10" s="1"/>
  <c r="BA20" i="10" a="1"/>
  <c r="BA20" i="10" s="1"/>
  <c r="BA8" i="10" a="1"/>
  <c r="BA8" i="10" s="1"/>
  <c r="BA5" i="10" a="1"/>
  <c r="BA5" i="10" s="1"/>
  <c r="BA17" i="10" a="1"/>
  <c r="BA17" i="10" s="1"/>
  <c r="BA4" i="10" a="1"/>
  <c r="BA4" i="10" s="1"/>
  <c r="BA12" i="10" a="1"/>
  <c r="BA12" i="10" s="1"/>
  <c r="BA21" i="10" a="1"/>
  <c r="BA21" i="10" s="1"/>
  <c r="BA2" i="10" a="1"/>
  <c r="BA2" i="10" s="1"/>
  <c r="BA18" i="10" a="1"/>
  <c r="BA18" i="10" s="1"/>
  <c r="BA15" i="10" a="1"/>
  <c r="BA15" i="10" s="1"/>
  <c r="BA19" i="10" a="1"/>
  <c r="BA19" i="10" s="1"/>
  <c r="BA3" i="10" a="1"/>
  <c r="BA3" i="10" s="1"/>
  <c r="BF3" i="10" a="1"/>
  <c r="BF3" i="10" s="1"/>
  <c r="BF7" i="10" a="1"/>
  <c r="BF7" i="10" s="1"/>
  <c r="BF8" i="10" a="1"/>
  <c r="BF8" i="10" s="1"/>
  <c r="BF2" i="10" a="1"/>
  <c r="BF2" i="10" s="1"/>
  <c r="BF10" i="10" a="1"/>
  <c r="BF10" i="10" s="1"/>
  <c r="BF6" i="10" a="1"/>
  <c r="BF6" i="10" s="1"/>
  <c r="BF19" i="10" a="1"/>
  <c r="BF19" i="10" s="1"/>
  <c r="BF12" i="10" a="1"/>
  <c r="BF12" i="10" s="1"/>
  <c r="BF9" i="10" a="1"/>
  <c r="BF9" i="10" s="1"/>
  <c r="BF14" i="10" a="1"/>
  <c r="BF14" i="10" s="1"/>
  <c r="BF18" i="10" a="1"/>
  <c r="BF18" i="10" s="1"/>
  <c r="BF17" i="10" a="1"/>
  <c r="BF17" i="10" s="1"/>
  <c r="BF21" i="10" a="1"/>
  <c r="BF21" i="10" s="1"/>
  <c r="BF13" i="10" a="1"/>
  <c r="BF13" i="10" s="1"/>
  <c r="BF5" i="10" a="1"/>
  <c r="BF5" i="10" s="1"/>
  <c r="BF11" i="10" a="1"/>
  <c r="BF11" i="10" s="1"/>
  <c r="BF4" i="10" a="1"/>
  <c r="BF4" i="10" s="1"/>
  <c r="BF20" i="10" a="1"/>
  <c r="BF20" i="10" s="1"/>
  <c r="BF16" i="10" a="1"/>
  <c r="BF16" i="10" s="1"/>
  <c r="E30" i="29"/>
  <c r="D30" i="29" s="1"/>
  <c r="F30" i="29" s="1"/>
  <c r="BF15" i="10" a="1"/>
  <c r="BF15" i="10" s="1"/>
  <c r="AZ22" i="10"/>
  <c r="AX10" i="10"/>
  <c r="AX18" i="10"/>
  <c r="AX17" i="10"/>
  <c r="AX3" i="10"/>
  <c r="AX11" i="10"/>
  <c r="AX19" i="10"/>
  <c r="AX4" i="10"/>
  <c r="AX12" i="10"/>
  <c r="AX20" i="10"/>
  <c r="AX21" i="10"/>
  <c r="AX5" i="10"/>
  <c r="AX13" i="10"/>
  <c r="AX6" i="10"/>
  <c r="AX14" i="10"/>
  <c r="AX16" i="10"/>
  <c r="AX9" i="10"/>
  <c r="AX7" i="10"/>
  <c r="AX15" i="10"/>
  <c r="AX8" i="10"/>
  <c r="CK22" i="10"/>
  <c r="CV22" i="10"/>
  <c r="CS22" i="10"/>
  <c r="CR22" i="10"/>
  <c r="AL62" i="24"/>
  <c r="CY22" i="10"/>
  <c r="CQ22" i="10"/>
  <c r="CT22" i="10"/>
  <c r="D55" i="8" a="1"/>
  <c r="C44" i="8" a="1"/>
  <c r="AM62" i="24"/>
  <c r="C45" i="8" a="1"/>
  <c r="C55" i="8" a="1"/>
  <c r="CH5" i="10" l="1"/>
  <c r="BE11" i="10" a="1"/>
  <c r="BE11" i="10" s="1"/>
  <c r="BE17" i="10" a="1"/>
  <c r="BE17" i="10" s="1"/>
  <c r="BE6" i="10" a="1"/>
  <c r="BE6" i="10" s="1"/>
  <c r="BE15" i="10" a="1"/>
  <c r="BE15" i="10" s="1"/>
  <c r="BE13" i="10" a="1"/>
  <c r="BE13" i="10" s="1"/>
  <c r="BE2" i="10" a="1"/>
  <c r="BE2" i="10" s="1"/>
  <c r="BE4" i="10" a="1"/>
  <c r="BE4" i="10" s="1"/>
  <c r="BE5" i="10" a="1"/>
  <c r="BE5" i="10" s="1"/>
  <c r="BE19" i="10" a="1"/>
  <c r="BE19" i="10" s="1"/>
  <c r="BE16" i="10" a="1"/>
  <c r="BE16" i="10" s="1"/>
  <c r="BE10" i="10" a="1"/>
  <c r="BE10" i="10" s="1"/>
  <c r="BE20" i="10" a="1"/>
  <c r="BE20" i="10" s="1"/>
  <c r="BE18" i="10" a="1"/>
  <c r="BE18" i="10" s="1"/>
  <c r="BE3" i="10" a="1"/>
  <c r="BE3" i="10" s="1"/>
  <c r="BE9" i="10" a="1"/>
  <c r="BE9" i="10" s="1"/>
  <c r="BE7" i="10" a="1"/>
  <c r="BE7" i="10" s="1"/>
  <c r="BE12" i="10" a="1"/>
  <c r="BE12" i="10" s="1"/>
  <c r="BE21" i="10" a="1"/>
  <c r="BE21" i="10" s="1"/>
  <c r="BE8" i="10" a="1"/>
  <c r="BE8" i="10" s="1"/>
  <c r="BD12" i="10" a="1"/>
  <c r="BD12" i="10" s="1"/>
  <c r="BD5" i="10" a="1"/>
  <c r="BD5" i="10" s="1"/>
  <c r="BD2" i="10" a="1"/>
  <c r="BD2" i="10" s="1"/>
  <c r="BD11" i="10" a="1"/>
  <c r="BD11" i="10" s="1"/>
  <c r="BD17" i="10" a="1"/>
  <c r="BD17" i="10" s="1"/>
  <c r="BD15" i="10" a="1"/>
  <c r="BD15" i="10" s="1"/>
  <c r="BD6" i="10" a="1"/>
  <c r="BD6" i="10" s="1"/>
  <c r="BD14" i="10" a="1"/>
  <c r="BD14" i="10" s="1"/>
  <c r="BD13" i="10" a="1"/>
  <c r="BD13" i="10" s="1"/>
  <c r="BD20" i="10" a="1"/>
  <c r="BD20" i="10" s="1"/>
  <c r="BD16" i="10" a="1"/>
  <c r="BD16" i="10" s="1"/>
  <c r="BD4" i="10" a="1"/>
  <c r="BD4" i="10" s="1"/>
  <c r="BD3" i="10" a="1"/>
  <c r="BD3" i="10" s="1"/>
  <c r="BD18" i="10" a="1"/>
  <c r="BD18" i="10" s="1"/>
  <c r="BD21" i="10" a="1"/>
  <c r="BD21" i="10" s="1"/>
  <c r="BD9" i="10" a="1"/>
  <c r="BD9" i="10" s="1"/>
  <c r="BD7" i="10" a="1"/>
  <c r="BD7" i="10" s="1"/>
  <c r="BD19" i="10" a="1"/>
  <c r="BD19" i="10" s="1"/>
  <c r="BD8" i="10" a="1"/>
  <c r="BD8" i="10" s="1"/>
  <c r="BD10" i="10" a="1"/>
  <c r="BD10" i="10" s="1"/>
  <c r="AV6" i="10"/>
  <c r="CG6" i="10"/>
  <c r="AV2" i="10"/>
  <c r="CG2" i="10"/>
  <c r="AU2" i="10"/>
  <c r="CF2" i="10"/>
  <c r="AU6" i="10"/>
  <c r="CF6" i="10"/>
  <c r="AT2" i="10"/>
  <c r="AT22" i="10" s="1"/>
  <c r="CE2" i="10"/>
  <c r="CZ8" i="10"/>
  <c r="CZ9" i="10"/>
  <c r="CZ12" i="10"/>
  <c r="CZ3" i="10"/>
  <c r="CZ11" i="10"/>
  <c r="CZ17" i="10"/>
  <c r="CZ7" i="10"/>
  <c r="CZ4" i="10"/>
  <c r="CZ10" i="10"/>
  <c r="CZ2" i="10"/>
  <c r="CZ20" i="10"/>
  <c r="CZ6" i="10"/>
  <c r="CZ21" i="10"/>
  <c r="CZ18" i="10"/>
  <c r="CZ14" i="10"/>
  <c r="CZ13" i="10"/>
  <c r="CZ5" i="10"/>
  <c r="CZ19" i="10"/>
  <c r="CZ16" i="10"/>
  <c r="CZ15" i="10"/>
  <c r="AQ2" i="10" a="1"/>
  <c r="AQ2" i="10" s="1"/>
  <c r="AP21" i="10" a="1"/>
  <c r="AP21" i="10" s="1"/>
  <c r="E20" i="29" a="1"/>
  <c r="E20" i="29" s="1"/>
  <c r="D20" i="29" s="1"/>
  <c r="F20" i="29" s="1"/>
  <c r="C55" i="8"/>
  <c r="D55" i="8"/>
  <c r="AP3" i="10" a="1"/>
  <c r="AP3" i="10" s="1"/>
  <c r="AQ16" i="10" a="1"/>
  <c r="AQ16" i="10" s="1"/>
  <c r="AP12" i="10" a="1"/>
  <c r="AP12" i="10" s="1"/>
  <c r="AQ12" i="10" a="1"/>
  <c r="AQ12" i="10" s="1"/>
  <c r="AQ8" i="10" a="1"/>
  <c r="AQ8" i="10" s="1"/>
  <c r="AQ4" i="10" a="1"/>
  <c r="AQ4" i="10" s="1"/>
  <c r="AP2" i="10" a="1"/>
  <c r="AP2" i="10" s="1"/>
  <c r="AP17" i="10" a="1"/>
  <c r="AP17" i="10" s="1"/>
  <c r="AP11" i="10" a="1"/>
  <c r="AP11" i="10" s="1"/>
  <c r="AQ20" i="10" a="1"/>
  <c r="AQ20" i="10" s="1"/>
  <c r="AQ14" i="10" a="1"/>
  <c r="AQ14" i="10" s="1"/>
  <c r="AQ19" i="10" a="1"/>
  <c r="AQ19" i="10" s="1"/>
  <c r="AQ11" i="10" a="1"/>
  <c r="AQ11" i="10" s="1"/>
  <c r="AQ3" i="10" a="1"/>
  <c r="AQ3" i="10" s="1"/>
  <c r="AQ10" i="10" a="1"/>
  <c r="AQ10" i="10" s="1"/>
  <c r="E19" i="29" a="1"/>
  <c r="E19" i="29" s="1"/>
  <c r="D19" i="29" s="1"/>
  <c r="F19" i="29" s="1"/>
  <c r="AQ7" i="10" a="1"/>
  <c r="AQ7" i="10" s="1"/>
  <c r="AP20" i="10" a="1"/>
  <c r="AP20" i="10" s="1"/>
  <c r="AP4" i="10" a="1"/>
  <c r="AP4" i="10" s="1"/>
  <c r="AP9" i="10" a="1"/>
  <c r="AP9" i="10" s="1"/>
  <c r="AP8" i="10" a="1"/>
  <c r="AP8" i="10" s="1"/>
  <c r="AP15" i="10" a="1"/>
  <c r="AP15" i="10" s="1"/>
  <c r="AP19" i="10" a="1"/>
  <c r="AP19" i="10" s="1"/>
  <c r="AQ15" i="10" a="1"/>
  <c r="AQ15" i="10" s="1"/>
  <c r="AP6" i="10" a="1"/>
  <c r="AP6" i="10" s="1"/>
  <c r="AP7" i="10" a="1"/>
  <c r="AP7" i="10" s="1"/>
  <c r="AP14" i="10" a="1"/>
  <c r="AP14" i="10" s="1"/>
  <c r="AQ6" i="10" a="1"/>
  <c r="AQ6" i="10" s="1"/>
  <c r="AP18" i="10" a="1"/>
  <c r="AP18" i="10" s="1"/>
  <c r="AP10" i="10" a="1"/>
  <c r="AP10" i="10" s="1"/>
  <c r="AQ17" i="10" a="1"/>
  <c r="AQ17" i="10" s="1"/>
  <c r="AQ21" i="10" a="1"/>
  <c r="AQ21" i="10" s="1"/>
  <c r="AQ13" i="10" a="1"/>
  <c r="AQ13" i="10" s="1"/>
  <c r="AQ5" i="10" a="1"/>
  <c r="AQ5" i="10" s="1"/>
  <c r="AP13" i="10" a="1"/>
  <c r="AP13" i="10" s="1"/>
  <c r="AP5" i="10" a="1"/>
  <c r="AP5" i="10" s="1"/>
  <c r="AQ18" i="10" a="1"/>
  <c r="AQ18" i="10" s="1"/>
  <c r="AQ9" i="10" a="1"/>
  <c r="AQ9" i="10" s="1"/>
  <c r="AP16" i="10" a="1"/>
  <c r="AP16" i="10" s="1"/>
  <c r="C44" i="8"/>
  <c r="C45" i="8"/>
  <c r="F28" i="29"/>
  <c r="F27" i="29"/>
  <c r="BB18" i="10"/>
  <c r="E31" i="29"/>
  <c r="D31" i="29" s="1"/>
  <c r="BB19" i="10"/>
  <c r="BB4" i="10"/>
  <c r="BB17" i="10"/>
  <c r="BB16" i="10"/>
  <c r="BB3" i="10"/>
  <c r="BB10" i="10"/>
  <c r="BB8" i="10"/>
  <c r="BA22" i="10"/>
  <c r="BB21" i="10"/>
  <c r="BB20" i="10"/>
  <c r="BB6" i="10"/>
  <c r="BB7" i="10"/>
  <c r="BB2" i="10"/>
  <c r="BB11" i="10"/>
  <c r="BB9" i="10"/>
  <c r="BB15" i="10"/>
  <c r="BB13" i="10"/>
  <c r="BB12" i="10"/>
  <c r="BF22" i="10"/>
  <c r="BB14" i="10"/>
  <c r="BB5" i="10"/>
  <c r="AX22" i="10"/>
  <c r="C46" i="8" a="1"/>
  <c r="CF22" i="10"/>
  <c r="CH22" i="10"/>
  <c r="D45" i="8" a="1"/>
  <c r="D43" i="8" a="1"/>
  <c r="D52" i="8" a="1"/>
  <c r="CG22" i="10"/>
  <c r="D44" i="8" a="1"/>
  <c r="C39" i="8" a="1"/>
  <c r="C43" i="8" a="1"/>
  <c r="C52" i="8" a="1"/>
  <c r="C51" i="8" a="1"/>
  <c r="D51" i="8" a="1"/>
  <c r="CZ22" i="10"/>
  <c r="D46" i="8" a="1"/>
  <c r="CE22" i="10"/>
  <c r="E29" i="29" l="1"/>
  <c r="D29" i="29" s="1"/>
  <c r="F29" i="29" s="1"/>
  <c r="BE22" i="10"/>
  <c r="BD22" i="10"/>
  <c r="D45" i="8"/>
  <c r="AV22" i="10"/>
  <c r="AU22" i="10"/>
  <c r="E25" i="29"/>
  <c r="D25" i="29" s="1"/>
  <c r="F25" i="29" s="1"/>
  <c r="E24" i="29"/>
  <c r="D24" i="29" s="1"/>
  <c r="F24" i="29" s="1"/>
  <c r="E23" i="29"/>
  <c r="D23" i="29" s="1"/>
  <c r="F23" i="29" s="1"/>
  <c r="D44" i="8"/>
  <c r="C52" i="8"/>
  <c r="D52" i="8"/>
  <c r="BI8" i="10"/>
  <c r="BI12" i="10"/>
  <c r="BI20" i="10"/>
  <c r="BI10" i="10"/>
  <c r="BI21" i="10"/>
  <c r="BI11" i="10"/>
  <c r="BI2" i="10"/>
  <c r="BI6" i="10"/>
  <c r="BI13" i="10"/>
  <c r="BI3" i="10"/>
  <c r="BI18" i="10"/>
  <c r="BI14" i="10"/>
  <c r="BI19" i="10"/>
  <c r="BI15" i="10"/>
  <c r="BI4" i="10"/>
  <c r="BI7" i="10"/>
  <c r="BI5" i="10"/>
  <c r="BI16" i="10"/>
  <c r="BI17" i="10"/>
  <c r="BI9" i="10"/>
  <c r="AQ22" i="10"/>
  <c r="AP22" i="10"/>
  <c r="D51" i="8"/>
  <c r="D46" i="8"/>
  <c r="D43" i="8"/>
  <c r="C51" i="8"/>
  <c r="C39" i="8"/>
  <c r="C46" i="8"/>
  <c r="C43" i="8"/>
  <c r="F31" i="29"/>
  <c r="BB22" i="10"/>
  <c r="C36" i="8" a="1"/>
  <c r="D36" i="8" a="1"/>
  <c r="C49" i="8" a="1"/>
  <c r="C35" i="8" a="1"/>
  <c r="C50" i="8" a="1"/>
  <c r="C47" i="8" a="1"/>
  <c r="D49" i="8" a="1"/>
  <c r="D50" i="8" a="1"/>
  <c r="D41" i="8" a="1"/>
  <c r="C40" i="8" a="1"/>
  <c r="D39" i="8" a="1"/>
  <c r="D40" i="8" a="1"/>
  <c r="C41" i="8" a="1"/>
  <c r="D47" i="8" a="1"/>
  <c r="D35" i="8" a="1"/>
  <c r="D50" i="8" l="1"/>
  <c r="C50" i="8"/>
  <c r="S31" i="8" s="1"/>
  <c r="D49" i="8"/>
  <c r="C49" i="8"/>
  <c r="D39" i="8"/>
  <c r="C41" i="8"/>
  <c r="R31" i="8" s="1"/>
  <c r="D41" i="8"/>
  <c r="C40" i="8"/>
  <c r="Q31" i="8" s="1"/>
  <c r="D40" i="8"/>
  <c r="BI22" i="10"/>
  <c r="B31" i="8" s="1"/>
  <c r="D35" i="8"/>
  <c r="C35" i="8"/>
  <c r="C36" i="8"/>
  <c r="D36" i="8"/>
  <c r="D47" i="8"/>
  <c r="C47" i="8"/>
  <c r="P31" i="8"/>
  <c r="C56" i="8" a="1"/>
  <c r="D56" i="8" a="1"/>
  <c r="A31" i="8" l="1" a="1"/>
  <c r="A31" i="8" s="1"/>
  <c r="B2" i="42"/>
  <c r="D56" i="8"/>
  <c r="C56" i="8"/>
  <c r="T31"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<sst xmlns="http://schemas.openxmlformats.org/spreadsheetml/2006/main" count="2138" uniqueCount="476">
  <si>
    <t xml:space="preserve">Projecttitel </t>
  </si>
  <si>
    <t>Type Organisatie</t>
  </si>
  <si>
    <t>Integrale kostensystematiek</t>
  </si>
  <si>
    <t>Directe loonkosten plus vaste opslag-systematiek (50%)</t>
  </si>
  <si>
    <t>Vaste uurtarief-systematiek (vast uurtarief van 60 euro)</t>
  </si>
  <si>
    <t>Kostensystematiek</t>
  </si>
  <si>
    <t>MKB</t>
  </si>
  <si>
    <t>Grootbedrijf</t>
  </si>
  <si>
    <t>Overig</t>
  </si>
  <si>
    <t>Onderzoeksorganisatie</t>
  </si>
  <si>
    <t>Projectacroniem</t>
  </si>
  <si>
    <t>Specificatie Apparatuur</t>
  </si>
  <si>
    <t>[Projectspecifieke kosten voor gebruik bestaande apparatuur (toerekening naar evenredigheid van de tijd welke deze apparatuur wordt gebruikt voor het project) en speciaal voor het project aan te schaffen apparatuur.]</t>
  </si>
  <si>
    <t>Restwaarde</t>
  </si>
  <si>
    <t>Jaarlijkse fiscale afschrijving</t>
  </si>
  <si>
    <t>Kosten</t>
  </si>
  <si>
    <t>Aanschaf- 
datum</t>
  </si>
  <si>
    <t>Aanschaf- 
waarde</t>
  </si>
  <si>
    <t>Gebruiks- 
percentage apparatuur</t>
  </si>
  <si>
    <t>[Maak een keuze]</t>
  </si>
  <si>
    <t>Totaal Apparatuur</t>
  </si>
  <si>
    <t>[Maak een keuze tussen de Integrale kostensystematiek, de Directe loonkosten plus vaste opslag-systematiek of de Vaste uurtarief-systematiek.]</t>
  </si>
  <si>
    <t>Medewerker</t>
  </si>
  <si>
    <t>Functie</t>
  </si>
  <si>
    <t>Uurtarief</t>
  </si>
  <si>
    <t>Uren</t>
  </si>
  <si>
    <t>Fundamenteel Onderzoek (FO)</t>
  </si>
  <si>
    <t>Industrieel Onderzoek (IO)</t>
  </si>
  <si>
    <t>Experimentele Ontwikkeling (EO)</t>
  </si>
  <si>
    <t>Uren x Tarief</t>
  </si>
  <si>
    <t>Subtotaal</t>
  </si>
  <si>
    <t>Opslag</t>
  </si>
  <si>
    <t>Totaal Loonkosten</t>
  </si>
  <si>
    <t>Omschrijving</t>
  </si>
  <si>
    <t>Totaal kosten materialen</t>
  </si>
  <si>
    <t>Totaal kosten apparatuur</t>
  </si>
  <si>
    <t>1. Loonkosten</t>
  </si>
  <si>
    <t>2. Projectspecifieke kosten verbruikte materialen</t>
  </si>
  <si>
    <t>4. Projectspecifieke aan derden verschuldigde kosten</t>
  </si>
  <si>
    <t>Totaal kosten aan derden</t>
  </si>
  <si>
    <t>Totale projectkosten</t>
  </si>
  <si>
    <t>Totaal</t>
  </si>
  <si>
    <t>Maximale subsidiepercentage</t>
  </si>
  <si>
    <t>Prijs per hoeveelheid</t>
  </si>
  <si>
    <t>Hoeveel-
heid</t>
  </si>
  <si>
    <t>Hoeveelheid x Prijs</t>
  </si>
  <si>
    <t>Deelnemer</t>
  </si>
  <si>
    <t>ID Deelnemer</t>
  </si>
  <si>
    <t>Referentienaam Deelnemer</t>
  </si>
  <si>
    <t>Naam Sheet</t>
  </si>
  <si>
    <t>Financiering</t>
  </si>
  <si>
    <t>Naam Organisatie</t>
  </si>
  <si>
    <t>Omschrijving Apparatuur</t>
  </si>
  <si>
    <t>Gegevens Deelnemers</t>
  </si>
  <si>
    <t>Overige Subsidies</t>
  </si>
  <si>
    <t>Financiering Totaal</t>
  </si>
  <si>
    <t>Maximale Subsidie</t>
  </si>
  <si>
    <t>Gevraagde Subsidie</t>
  </si>
  <si>
    <t>Deelnemer 1 - Penvoerder</t>
  </si>
  <si>
    <t>Deelnemer 2</t>
  </si>
  <si>
    <t>Deelnemer 3</t>
  </si>
  <si>
    <t>Deelnemer 4</t>
  </si>
  <si>
    <t>Deelnemer 5</t>
  </si>
  <si>
    <t>Deelnemer 6</t>
  </si>
  <si>
    <t>Deelnemer 7</t>
  </si>
  <si>
    <t>Deelnemer 8</t>
  </si>
  <si>
    <t>Deelnemer 9</t>
  </si>
  <si>
    <t>Deelnemer 10</t>
  </si>
  <si>
    <t>Deelnemer_2</t>
  </si>
  <si>
    <t>Deelnemer_3</t>
  </si>
  <si>
    <t>Deelnemer_4</t>
  </si>
  <si>
    <t>Deelnemer_5</t>
  </si>
  <si>
    <t>Deelnemer_6</t>
  </si>
  <si>
    <t>Deelnemer_7</t>
  </si>
  <si>
    <t>Deelnemer_8</t>
  </si>
  <si>
    <t>Deelnemer_9</t>
  </si>
  <si>
    <t>Deelnemer_10</t>
  </si>
  <si>
    <t>Deelnemers</t>
  </si>
  <si>
    <t>Deelnemer_1</t>
  </si>
  <si>
    <t>3. Projectspecifieke kosten gebruik apparatuur, uitrusting, machines, gebouwen en gronden</t>
  </si>
  <si>
    <t>FO | IO | EO</t>
  </si>
  <si>
    <t>FO</t>
  </si>
  <si>
    <t>IO</t>
  </si>
  <si>
    <t>EO</t>
  </si>
  <si>
    <t>In-kind Bijdrage</t>
  </si>
  <si>
    <t>Verkorte Referentienaam Deelnemer</t>
  </si>
  <si>
    <t>DN1</t>
  </si>
  <si>
    <t>DN2</t>
  </si>
  <si>
    <t>DN3</t>
  </si>
  <si>
    <t>DN4</t>
  </si>
  <si>
    <t>DN5</t>
  </si>
  <si>
    <t>DN6</t>
  </si>
  <si>
    <t>DN7</t>
  </si>
  <si>
    <t>DN8</t>
  </si>
  <si>
    <t>DN9</t>
  </si>
  <si>
    <t>DN10</t>
  </si>
  <si>
    <t>[Let op! Vul eerst "Basisgegevens Aanvraag" in voordat de begroting per deelnemer wordt ingevuld. Deelnemer 1 is altijd de Penvoerder.]</t>
  </si>
  <si>
    <t>KVK-nummer</t>
  </si>
  <si>
    <t>[Max. 30 karakters]</t>
  </si>
  <si>
    <t>Belangenorganisatie/ANBI</t>
  </si>
  <si>
    <t>Rijksoverheid</t>
  </si>
  <si>
    <t>Provincie</t>
  </si>
  <si>
    <t>Gemeente</t>
  </si>
  <si>
    <t>EU</t>
  </si>
  <si>
    <t>Anders overheid</t>
  </si>
  <si>
    <t>Maximale Subsidie 
Totaal</t>
  </si>
  <si>
    <t xml:space="preserve">Kosten 
Totaal </t>
  </si>
  <si>
    <t>5. Overzicht projectkosten en maximale subsidie</t>
  </si>
  <si>
    <t>Subsidieregeling</t>
  </si>
  <si>
    <t>ja</t>
  </si>
  <si>
    <t>Nr. Foutmelding</t>
  </si>
  <si>
    <t>Foutmelding</t>
  </si>
  <si>
    <t>DN niet leeg?</t>
  </si>
  <si>
    <t>Penvoerder niet leeg?</t>
  </si>
  <si>
    <t>DN2 niet leeg?</t>
  </si>
  <si>
    <t>Type Organisatie niet leeg?</t>
  </si>
  <si>
    <t>KVK niet leeg?</t>
  </si>
  <si>
    <t>Check 111</t>
  </si>
  <si>
    <t>Check 121</t>
  </si>
  <si>
    <t>Check 123</t>
  </si>
  <si>
    <t>Check 125</t>
  </si>
  <si>
    <t>Kosten FO</t>
  </si>
  <si>
    <t>Kosten IO</t>
  </si>
  <si>
    <t>Kosten EO</t>
  </si>
  <si>
    <t>Maximale Subsidie 
IO</t>
  </si>
  <si>
    <t>Maximale Subsidie 
EO</t>
  </si>
  <si>
    <t>Maximale Subsidie 
FO</t>
  </si>
  <si>
    <t>Gevraagde Subsidie 
FO</t>
  </si>
  <si>
    <t>Gevraagde Subsidie 
IO</t>
  </si>
  <si>
    <t>Gevraagde Subsidie 
EO</t>
  </si>
  <si>
    <t>Gevraagde Subsidie 
Totaal</t>
  </si>
  <si>
    <t>Consortium met OOs en tenminste één niet-MKB</t>
  </si>
  <si>
    <t>Consortium met OOs en alleen MKBs</t>
  </si>
  <si>
    <t>Is MKB?</t>
  </si>
  <si>
    <t>Kosten OO</t>
  </si>
  <si>
    <t>ID Deelnemer # FO | IO | EO</t>
  </si>
  <si>
    <t>Bijdragen</t>
  </si>
  <si>
    <t>Total</t>
  </si>
  <si>
    <t>Minimale 'private bijdragen (co-funding) in cash'-percentages 
door PPs van kosten OOs minus maximale subsidie OOs</t>
  </si>
  <si>
    <t>Is OO?</t>
  </si>
  <si>
    <t>Is Penvoerder?</t>
  </si>
  <si>
    <t>PPS-PGT</t>
  </si>
  <si>
    <t>Overheid</t>
  </si>
  <si>
    <t>TKI - HTSM</t>
  </si>
  <si>
    <t>Alle consortia</t>
  </si>
  <si>
    <t>Maximale subsidiepercentages van kosten Organisatie</t>
  </si>
  <si>
    <t>Sub.reg.</t>
  </si>
  <si>
    <t>MKB-Consortium?</t>
  </si>
  <si>
    <t>Begroting – Overzicht Projectkosten en Financiering</t>
  </si>
  <si>
    <t>Checks</t>
  </si>
  <si>
    <t>Cash Bijdrage</t>
  </si>
  <si>
    <t>Cash Ontvangen</t>
  </si>
  <si>
    <t>MKB-Consortium - part?</t>
  </si>
  <si>
    <t>Is MKB-Consortium?</t>
  </si>
  <si>
    <t>Check 150</t>
  </si>
  <si>
    <t>Kostensystematiek niet leeg?</t>
  </si>
  <si>
    <t xml:space="preserve">Financiering 
Totaal </t>
  </si>
  <si>
    <t>Kosten Totaal</t>
  </si>
  <si>
    <t>Cash Ontvangen OO</t>
  </si>
  <si>
    <t>Gevraagde Subsidie FO</t>
  </si>
  <si>
    <t>Gevraagde Subsidie IO</t>
  </si>
  <si>
    <t>Gevraagde Subsidie EO</t>
  </si>
  <si>
    <t>Gevraagde Subsidie Totaal</t>
  </si>
  <si>
    <t>Subsidiepercentages gelden over de kosten van de betreffende organisatie.</t>
  </si>
  <si>
    <t>Keuzes</t>
  </si>
  <si>
    <r>
      <t xml:space="preserve">Alleen als er </t>
    </r>
    <r>
      <rPr>
        <b/>
        <sz val="11"/>
        <color rgb="FF0000FF"/>
        <rFont val="Calibri Light"/>
        <family val="2"/>
        <scheme val="major"/>
      </rPr>
      <t xml:space="preserve">alleen </t>
    </r>
    <r>
      <rPr>
        <sz val="11"/>
        <color rgb="FF0000FF"/>
        <rFont val="Calibri Light"/>
        <family val="2"/>
        <scheme val="major"/>
      </rPr>
      <t>MKB meedoet geldt de MKB-regel.</t>
    </r>
  </si>
  <si>
    <t>ja | e</t>
  </si>
  <si>
    <t>Private Bijdrage = Bedrag dat OOs minimaal nodig hebben om kosten te dekken met maximale subsidie door OOs gegenereerd, zonder eigen In-kind Bijdrage OOs. 
Als er dus een GB meedoet geldt voor de hele Cash Bijdrage van de PPs de minima van GB. 
Wanneer niet de maximale subsidie wordt aangevraagd, is een in-kind bijdrage van de OO toegestaan.</t>
  </si>
  <si>
    <t>OOs en PPs moeten per groep behandeld worden om Minimale Cash te (kunnen) berekenen.</t>
  </si>
  <si>
    <t>Is OO of niet-economisch</t>
  </si>
  <si>
    <t>Subsidie-instrument</t>
  </si>
  <si>
    <t>Sub.instr.</t>
  </si>
  <si>
    <t>Sub.instr. # MKB-Consortium</t>
  </si>
  <si>
    <t>PPS-I Strategische Programma's</t>
  </si>
  <si>
    <t>PPS-I Flex HighTech</t>
  </si>
  <si>
    <t>PPS-Programmatoeslag</t>
  </si>
  <si>
    <t>Minimale 'private bijdragen (co-funding) in cash'-percentages 
door PPs van kosten OOs minus maximale subsidie OOs Consortium</t>
  </si>
  <si>
    <t>PPS-I SP</t>
  </si>
  <si>
    <t>PPS-I Flex</t>
  </si>
  <si>
    <t>Check 200</t>
  </si>
  <si>
    <t>OO | niet-economisch</t>
  </si>
  <si>
    <t>Check 190</t>
  </si>
  <si>
    <t>SUM Kosten MKBs</t>
  </si>
  <si>
    <t>SUM Kosten OOs</t>
  </si>
  <si>
    <t>Check 999</t>
  </si>
  <si>
    <t>Verhouding SUM kosten OOs / SUM kosten MKBs is OK?</t>
  </si>
  <si>
    <t>SUM Gevraagde Subsidie MKBs</t>
  </si>
  <si>
    <t>SUM Gevraagde Subsidie OOs</t>
  </si>
  <si>
    <t>[Not in LuT]</t>
  </si>
  <si>
    <t>Deelnemer 11</t>
  </si>
  <si>
    <t>Deelnemer 12</t>
  </si>
  <si>
    <t>Deelnemer 13</t>
  </si>
  <si>
    <t>Deelnemer 14</t>
  </si>
  <si>
    <t>Deelnemer 15</t>
  </si>
  <si>
    <t>Deelnemer 16</t>
  </si>
  <si>
    <t>Deelnemer 17</t>
  </si>
  <si>
    <t>Deelnemer 18</t>
  </si>
  <si>
    <t>Deelnemer 19</t>
  </si>
  <si>
    <t>Deelnemer 20</t>
  </si>
  <si>
    <t>Deelnemer_11</t>
  </si>
  <si>
    <t>Deelnemer_12</t>
  </si>
  <si>
    <t>Deelnemer_13</t>
  </si>
  <si>
    <t>Deelnemer_14</t>
  </si>
  <si>
    <t>Deelnemer_15</t>
  </si>
  <si>
    <t>Deelnemer_16</t>
  </si>
  <si>
    <t>Deelnemer_17</t>
  </si>
  <si>
    <t>Deelnemer_18</t>
  </si>
  <si>
    <t>Deelnemer_19</t>
  </si>
  <si>
    <t>Deelnemer_20</t>
  </si>
  <si>
    <t>DN11</t>
  </si>
  <si>
    <t>DN12</t>
  </si>
  <si>
    <t>DN13</t>
  </si>
  <si>
    <t>DN14</t>
  </si>
  <si>
    <t>DN15</t>
  </si>
  <si>
    <t>DN16</t>
  </si>
  <si>
    <t>DN17</t>
  </si>
  <si>
    <t>DN18</t>
  </si>
  <si>
    <t>DN19</t>
  </si>
  <si>
    <t>DN20</t>
  </si>
  <si>
    <t xml:space="preserve">Aandachtspunten: </t>
  </si>
  <si>
    <t>Subsidie_EO_Gevraagd__c</t>
  </si>
  <si>
    <t>Subsidie_IO_Gevraagd__c</t>
  </si>
  <si>
    <t>Subsidie_FO_Gevraagd__c</t>
  </si>
  <si>
    <t>Overige_Subsidies__c</t>
  </si>
  <si>
    <t>Bijdrage_In_kind__c</t>
  </si>
  <si>
    <t>Cash_ontvangen__c</t>
  </si>
  <si>
    <t>Bijdrage_Cash__c</t>
  </si>
  <si>
    <t>Kosten_Apparatuur_etc__c</t>
  </si>
  <si>
    <t>Kosten_EO__c</t>
  </si>
  <si>
    <t>Kosten_IO__c</t>
  </si>
  <si>
    <t>Kosten_FO__c</t>
  </si>
  <si>
    <t>Vestiging_in_Nederland__c</t>
  </si>
  <si>
    <t>Type_Deelnemer_opgegeven_in_Aanvraag__c</t>
  </si>
  <si>
    <t>Website_deelnemer__c</t>
  </si>
  <si>
    <t>KVK_nummer__c</t>
  </si>
  <si>
    <t>Land__c</t>
  </si>
  <si>
    <t>Buitenland__c</t>
  </si>
  <si>
    <t>Deelnemer_opgegeven_in_Aanvraag__c</t>
  </si>
  <si>
    <t>(KVK)</t>
  </si>
  <si>
    <t>(Namen)</t>
  </si>
  <si>
    <t>Version</t>
  </si>
  <si>
    <t>Validation</t>
  </si>
  <si>
    <t>Message</t>
  </si>
  <si>
    <t>Data</t>
  </si>
  <si>
    <t>Passed</t>
  </si>
  <si>
    <t>Check</t>
  </si>
  <si>
    <t>ja | nee</t>
  </si>
  <si>
    <t>nee</t>
  </si>
  <si>
    <t>Website Organisatie</t>
  </si>
  <si>
    <r>
      <t xml:space="preserve">Land Organisatie </t>
    </r>
    <r>
      <rPr>
        <i/>
        <sz val="11"/>
        <rFont val="Calibri"/>
        <family val="2"/>
        <scheme val="minor"/>
      </rPr>
      <t>[indien buitenlands]</t>
    </r>
  </si>
  <si>
    <t>Is Buitenlandse Organisatie</t>
  </si>
  <si>
    <t>Vestiging in Nederland</t>
  </si>
  <si>
    <t>Kosten Apparatuur</t>
  </si>
  <si>
    <t>e. Zijn er meer dan 20 deelnemers, neem dan contact op met TKI HTSM:</t>
  </si>
  <si>
    <t>Gevraagde Subsidie %</t>
  </si>
  <si>
    <t>d. Gebruik voor het invullen van deze begroting de desktop-versie van Office 2021, Office 365 of recenter.</t>
  </si>
  <si>
    <t>Foutmelding - deel 1</t>
  </si>
  <si>
    <t>Foutmelding - deel 2</t>
  </si>
  <si>
    <t>Foutmelding - deel 3</t>
  </si>
  <si>
    <t>FOUT: Vul eerste een Subsidie-instrument, een Projecttitel en een Projectacroniem in!</t>
  </si>
  <si>
    <t>FOUT: Projectacroniem mag niet langer zijn dan 30 karakters!</t>
  </si>
  <si>
    <t>FOUT: Een project dient een Penvoerder (Deelnemer 1) te hebben!</t>
  </si>
  <si>
    <t>FOUT: Een project dient minstens twee deelnemers te hebben!</t>
  </si>
  <si>
    <t>FOUT: Sla geen deelnemers over!</t>
  </si>
  <si>
    <t>FOUT: De organisatienaam ontbreekt!</t>
  </si>
  <si>
    <t>FOUT: Tenminste één deelnemer in het consortium moet een onderzoeksorganisatie zijn!</t>
  </si>
  <si>
    <t>FOUT: Kies een Type Organisatie!</t>
  </si>
  <si>
    <t>FOUT: De penvoerder moet een Nederlandse organisatie zijn!</t>
  </si>
  <si>
    <t>FOUT: Als de deelnemer een Nederlandse organisatie is, is het KVK-nummer verplicht!</t>
  </si>
  <si>
    <t>FOUT: Een buitenlandse organisatie heeft geen KVK-nummer!</t>
  </si>
  <si>
    <t>FOUT: Som van Cash Bijdragen Private Partijen moet tenminste de minimale Cash Co-funding zijn!</t>
  </si>
  <si>
    <t>FOUT: Som van Cash Ontvangen door OOs moet tenminste de minimale Cash Co-funding zijn!</t>
  </si>
  <si>
    <t>FOUT: Een organisatie die Cash bijdraagt, kan niet ook Cash ontvangen!</t>
  </si>
  <si>
    <t>FOUT: Som van Cash Bijdrage moet gelijk zijn aan som Cash Ontvangen!</t>
  </si>
  <si>
    <t>FOUT: Een onderzoeksorganisatie mag in geen enkele activiteitencategorie (FO, IO , EO) meer subsidie ontvangen dan 80% van de resp. kosten!</t>
  </si>
  <si>
    <t>FOUT: Gevraagde Subsidie Totaal overschrijdt de Maximale Subsidie Totaal!</t>
  </si>
  <si>
    <t>FOUT: Som van Kosten iedere Deelnemer moet gelijk zijn aan som Financiering iedere Deelnemer!</t>
  </si>
  <si>
    <t>FOUT: Som van Kosten Totaal moet gelijk zijn aan som Financiering Totaal!</t>
  </si>
  <si>
    <t>FOUT: De deelnemer is niet gedefinieerd en er is wel een bedrag opgevoerd!</t>
  </si>
  <si>
    <t>FOUT: Alleen niet-negatieve en gehele bedragen zijn toegestaan!</t>
  </si>
  <si>
    <t>FOUT: Verhouding kosten OO t.o.v. kosten MKB mag tenhoogste 1/2 zijn!</t>
  </si>
  <si>
    <t>Value</t>
  </si>
  <si>
    <t>FOUT: Gevraagde Subsidie van (minstens) een deelnemer overschrijdt zijn Maximale Subsidie!</t>
  </si>
  <si>
    <t>Check 500</t>
  </si>
  <si>
    <t>Check 505</t>
  </si>
  <si>
    <t>Check 510</t>
  </si>
  <si>
    <t>Check 515</t>
  </si>
  <si>
    <t>Check 520</t>
  </si>
  <si>
    <t>Check 525</t>
  </si>
  <si>
    <t>Check 530</t>
  </si>
  <si>
    <t>Check 535</t>
  </si>
  <si>
    <t>Check 540</t>
  </si>
  <si>
    <t>Check 545</t>
  </si>
  <si>
    <t>Check 550</t>
  </si>
  <si>
    <t>Check 555</t>
  </si>
  <si>
    <t>Check 560</t>
  </si>
  <si>
    <t>Check 565</t>
  </si>
  <si>
    <t>Check 570</t>
  </si>
  <si>
    <t>Check 575</t>
  </si>
  <si>
    <t>Check 580</t>
  </si>
  <si>
    <t>Check 005</t>
  </si>
  <si>
    <t>Check 006</t>
  </si>
  <si>
    <t>Check 011</t>
  </si>
  <si>
    <t>Check 013</t>
  </si>
  <si>
    <t>Check 015</t>
  </si>
  <si>
    <t>Check 017</t>
  </si>
  <si>
    <t>Check 020</t>
  </si>
  <si>
    <t>Column1</t>
  </si>
  <si>
    <t>Column2</t>
  </si>
  <si>
    <t>Column3</t>
  </si>
  <si>
    <t>Column4</t>
  </si>
  <si>
    <t>Column5</t>
  </si>
  <si>
    <t>Column6</t>
  </si>
  <si>
    <t>Column7</t>
  </si>
  <si>
    <t>Column8</t>
  </si>
  <si>
    <t>Column9</t>
  </si>
  <si>
    <t>Column10</t>
  </si>
  <si>
    <t>Column11</t>
  </si>
  <si>
    <t>Gevraagde Subsidie 
FO %</t>
  </si>
  <si>
    <t>Gevraagde Subsidie 
IO %</t>
  </si>
  <si>
    <t>Gevraagde Subsidie 
EO %</t>
  </si>
  <si>
    <t>Gevraagde Subsidie 
Totaal %</t>
  </si>
  <si>
    <t>Gevraagd - Max Totaal</t>
  </si>
  <si>
    <t>Gevraagd - Max FO, als &gt;0</t>
  </si>
  <si>
    <t>Gevraagd - Max IO, als &gt;0</t>
  </si>
  <si>
    <t>FOUT: Gevraagde Subsidie EO van (minstens) een deelnemer overschrijdt de Maximale Subsidie EO!</t>
  </si>
  <si>
    <t>FOUT: Gevraagde Subsidie IO van (minstens) een deelnemer overschrijdt de Maximale Subsidie IO!</t>
  </si>
  <si>
    <t>FOUT: Gevraagde Subsidie FO van (minstens) een deelnemer overschrijdt de Maximale Subsidie FO!</t>
  </si>
  <si>
    <r>
      <t xml:space="preserve">KVK-nummer </t>
    </r>
    <r>
      <rPr>
        <i/>
        <sz val="10"/>
        <color theme="1"/>
        <rFont val="Arial"/>
        <family val="2"/>
      </rPr>
      <t>[indien Nederland]</t>
    </r>
  </si>
  <si>
    <r>
      <t xml:space="preserve">Land Organisatie </t>
    </r>
    <r>
      <rPr>
        <i/>
        <sz val="10"/>
        <color theme="1"/>
        <rFont val="Arial"/>
        <family val="2"/>
      </rPr>
      <t>[indien buitenland]</t>
    </r>
  </si>
  <si>
    <r>
      <t xml:space="preserve">Heeft organisatie vestiging in Nederland </t>
    </r>
    <r>
      <rPr>
        <i/>
        <sz val="10"/>
        <color theme="1"/>
        <rFont val="Arial"/>
        <family val="2"/>
      </rPr>
      <t>[indien buitenland]</t>
    </r>
    <r>
      <rPr>
        <b/>
        <sz val="10"/>
        <color theme="1"/>
        <rFont val="Arial"/>
        <family val="2"/>
      </rPr>
      <t>?</t>
    </r>
  </si>
  <si>
    <r>
      <t xml:space="preserve">b. Een begroting met foutmeldingen kan </t>
    </r>
    <r>
      <rPr>
        <b/>
        <i/>
        <sz val="11"/>
        <color theme="1"/>
        <rFont val="Arial"/>
        <family val="2"/>
      </rPr>
      <t xml:space="preserve">niet </t>
    </r>
    <r>
      <rPr>
        <i/>
        <sz val="11"/>
        <color theme="1"/>
        <rFont val="Arial"/>
        <family val="2"/>
      </rPr>
      <t>worden geüpload bij de Aanvraag! 
     Zorg eerst dat er geen foutmeldingen in de begroting voorkomen.</t>
    </r>
  </si>
  <si>
    <t>a. Dit bestand moet in tab "6. Begroting &amp; Documenten" worden geüpload in de Holland High Tech Portal 
     (https://portal.hollandhightech.nl). De data in deze begroting worden 1-op-1 overgenomen in de Aanvraag 
     en zijn na indiening niet meer wijzigbaar. Zorg dus dat deze begroting correct wordt ingevuld!</t>
  </si>
  <si>
    <t>e. Als de Office display language (Office-weergavetaal) niet 'English' is, bereken dan heel het workbook vóór 
     aanvang opnieuw met een brute force herberekening: &lt;Ctrl&gt;&lt;Shft&gt;&lt;Alt&gt;F9. 
     Gebruik indien nodig de &lt;Fn&gt;-toets op je laptop.</t>
  </si>
  <si>
    <t>Check 541</t>
  </si>
  <si>
    <t>Kosten PP</t>
  </si>
  <si>
    <t>Check - Toegestane kostencategorieën</t>
  </si>
  <si>
    <t>Check - Minimale Cash Co-funding &lt;= Cash Bijdrage</t>
  </si>
  <si>
    <t>Check - Minimale Cash Co-funding &lt;= Cash Ontvangen</t>
  </si>
  <si>
    <t>Check - Maximale Subsidie FO</t>
  </si>
  <si>
    <t>Check - Maximale Subsidie IO</t>
  </si>
  <si>
    <t>Check - Maximale Subsidie EO</t>
  </si>
  <si>
    <t>Check - Maximale Subsidie OO</t>
  </si>
  <si>
    <t>Check - Maximale Subsidie Totaal</t>
  </si>
  <si>
    <t>Check - Maximale Subsidie per Deelnemer (niet OO)</t>
  </si>
  <si>
    <t>Check - Financiering per Deelnemer</t>
  </si>
  <si>
    <t>Check - Financiering Totaal</t>
  </si>
  <si>
    <t>Check - verhouding kosten</t>
  </si>
  <si>
    <t>Check - bovengrens Gevraagde Subsidie</t>
  </si>
  <si>
    <t>Check - Deelnemers</t>
  </si>
  <si>
    <t>Check - Waarden</t>
  </si>
  <si>
    <t>Check - alle fouten</t>
  </si>
  <si>
    <t>Check - Cash Bijdrage = Cash Ontvangen</t>
  </si>
  <si>
    <t>Check - Cash Bijdrage &gt;0? Dan Cash Ontvangen = 0</t>
  </si>
  <si>
    <t>E-005</t>
  </si>
  <si>
    <t>E-006</t>
  </si>
  <si>
    <t>E-011</t>
  </si>
  <si>
    <t>E-013</t>
  </si>
  <si>
    <t>E-015</t>
  </si>
  <si>
    <t>E-017</t>
  </si>
  <si>
    <t>E-020</t>
  </si>
  <si>
    <t>E-111</t>
  </si>
  <si>
    <t>E-121</t>
  </si>
  <si>
    <t>E-123</t>
  </si>
  <si>
    <t>E-125</t>
  </si>
  <si>
    <t>E-150</t>
  </si>
  <si>
    <t>E-190</t>
  </si>
  <si>
    <t>E-200</t>
  </si>
  <si>
    <t>E-500</t>
  </si>
  <si>
    <t>E-505</t>
  </si>
  <si>
    <t>E-510</t>
  </si>
  <si>
    <t>E-515</t>
  </si>
  <si>
    <t>E-520</t>
  </si>
  <si>
    <t>E-525</t>
  </si>
  <si>
    <t>E-530</t>
  </si>
  <si>
    <t>E-535</t>
  </si>
  <si>
    <t>E-540</t>
  </si>
  <si>
    <t>E-541</t>
  </si>
  <si>
    <t>E-545</t>
  </si>
  <si>
    <t>E-550</t>
  </si>
  <si>
    <t>E-555</t>
  </si>
  <si>
    <t>E-560</t>
  </si>
  <si>
    <t>E-565</t>
  </si>
  <si>
    <t>E-570</t>
  </si>
  <si>
    <t>E-575</t>
  </si>
  <si>
    <t>E-580</t>
  </si>
  <si>
    <t>E-999</t>
  </si>
  <si>
    <t>Error Number</t>
  </si>
  <si>
    <t>Check Value</t>
  </si>
  <si>
    <t>E-007</t>
  </si>
  <si>
    <t>FOUT: Projecttitel mag niet langer zijn dan 255 karakters!</t>
  </si>
  <si>
    <t>Check 007</t>
  </si>
  <si>
    <t>FOUT: Er zijn fouten in de begroting en/of er zijn fouten of ontbreken gegevens in overige tabs!</t>
  </si>
  <si>
    <t>[Max. 255 karakters]</t>
  </si>
  <si>
    <t>E-124</t>
  </si>
  <si>
    <t>FOUT: Een Nederlands KVK-nummer is maximaal 8 tekens lang! Vul geen buitenlands CoC-nr. in.</t>
  </si>
  <si>
    <t>Check 124</t>
  </si>
  <si>
    <t>E-990</t>
  </si>
  <si>
    <t>FOUT: Er is nog geen subsidie gevraagd.</t>
  </si>
  <si>
    <t>Check - Subsidie Totaal - Gevraagd</t>
  </si>
  <si>
    <t>Check 990</t>
  </si>
  <si>
    <t>Check - Kostensystematiek</t>
  </si>
  <si>
    <t>FOUT: Kies eerst een Kostensystematiek (voor alle deelnemers)!</t>
  </si>
  <si>
    <t>E-160</t>
  </si>
  <si>
    <t>FOUT: Bij de vaste uurtarief-systematiek (vast uurtarief van 60 euro) moet het uurtarief € 60,-- zijn!</t>
  </si>
  <si>
    <t>Check - Vaste uurtarief-systematiek</t>
  </si>
  <si>
    <t>Check 160</t>
  </si>
  <si>
    <t>Kosten GB</t>
  </si>
  <si>
    <t>Kosten MKB</t>
  </si>
  <si>
    <t>GB</t>
  </si>
  <si>
    <t>Kosten - Maximale Subsidie GB</t>
  </si>
  <si>
    <t>Kosten - Maximale Subsidie MKB</t>
  </si>
  <si>
    <t>Kosten - Maximale Subsidie OO - HTSM</t>
  </si>
  <si>
    <t>Maximale Subsidie OO - HTSM</t>
  </si>
  <si>
    <t>Kosten - Maximale Subsidie - HTSM</t>
  </si>
  <si>
    <t>Maximale Subsidie - HTSM</t>
  </si>
  <si>
    <t>Maximale Subsidie % - wettelijk</t>
  </si>
  <si>
    <t>Is OO of niet-economisch?</t>
  </si>
  <si>
    <t>PPS-I</t>
  </si>
  <si>
    <t>Maximale Subsidie OO - overheid</t>
  </si>
  <si>
    <t>OO</t>
  </si>
  <si>
    <t>Sub.reg. # Is OO of niet-economisch? # Is MKB?</t>
  </si>
  <si>
    <t>PPS-Innovatieregeling</t>
  </si>
  <si>
    <t>PPS Programmatoeslagregeling</t>
  </si>
  <si>
    <t>Maximale Subsidie PP - overheid</t>
  </si>
  <si>
    <t>Maximale Subsidie PP - HTSM</t>
  </si>
  <si>
    <t>Kosten - Maximale Subsidie PP - HTSM</t>
  </si>
  <si>
    <t>Maximale Subsidie - overheid</t>
  </si>
  <si>
    <t>Maximale Subsidie GB - HTSM</t>
  </si>
  <si>
    <t>Maximale Subsidie GB - overheid</t>
  </si>
  <si>
    <t>Maximale Subsidie MKB - HTSM</t>
  </si>
  <si>
    <t>Maximale Subsidie MKB - overheid</t>
  </si>
  <si>
    <t>Gegenereerde Subsidie - OO+MKB</t>
  </si>
  <si>
    <t>MIN(Gegeneerde Subsidie,Maximale Subsidie OO - overheid)</t>
  </si>
  <si>
    <t>SUM  Maximale Subsidie - OO - overheid</t>
  </si>
  <si>
    <t>SUM Maximale Subsidie - OO - HTSM</t>
  </si>
  <si>
    <t>SUM Maximale Subsidie - MKB - HTSM</t>
  </si>
  <si>
    <t>SUM Gevraagde Subsidie OO</t>
  </si>
  <si>
    <t>SUM Maximale Subsidie - OO+MKB - HTSM</t>
  </si>
  <si>
    <t>MIN(SUM Max OO - overheid,SUM Max OO+MKB - HTSM)</t>
  </si>
  <si>
    <t>Check - toegestane kostencategorieën</t>
  </si>
  <si>
    <t>Maximale Subsidie FO - HTSM</t>
  </si>
  <si>
    <t>Maximale Subsidie IO - HTSM</t>
  </si>
  <si>
    <t>Maximale Subsidie EO - HTSM</t>
  </si>
  <si>
    <t>Maximale Subsidie Totaal - HTSM</t>
  </si>
  <si>
    <t>Maximale Subsidie FO - overheid</t>
  </si>
  <si>
    <t>Maximale Subsidie IO - overheid</t>
  </si>
  <si>
    <t>Maximale Subsidie EO - overheid</t>
  </si>
  <si>
    <t>Maximale Subsidie Totaal - overheid</t>
  </si>
  <si>
    <t>Maximale Subsidie FO - HTSM^overheid</t>
  </si>
  <si>
    <t>Maximale Subsidie IO - HTSM^overheid</t>
  </si>
  <si>
    <t>Maximale Subsidie EO - HTSM^overheid</t>
  </si>
  <si>
    <t>Maximale Subsidie Totaal - HTSM^overheid</t>
  </si>
  <si>
    <t>TO</t>
  </si>
  <si>
    <t>Sub.instr. # TO</t>
  </si>
  <si>
    <t>Minimale co-funding - Cash</t>
  </si>
  <si>
    <t>Gevraagde Subsidie Totaal MKB</t>
  </si>
  <si>
    <t>Gevraagde Subsidie Totaal GB</t>
  </si>
  <si>
    <t>Gevraagde Subsidie Totaal PP</t>
  </si>
  <si>
    <t>Gevraagde Subsidie Totaal OO</t>
  </si>
  <si>
    <t>MKB Hightech</t>
  </si>
  <si>
    <t>MKB Defensie</t>
  </si>
  <si>
    <t>Check - alleen OO ontvangt subsidie, tenzij MKB-call</t>
  </si>
  <si>
    <t>Alleen aan onderzoeksorganisaties wordt subsidie toegekend, tenzij het een subsidie-instrument voor MKB is!</t>
  </si>
  <si>
    <t>Noot: Na goedkeuring wordt subsidie alleen toegekend aan de onderzoeksorganisaties, tenzij het een subsidie-instrument voor MKB is.</t>
  </si>
  <si>
    <t>FOUT: Bij een subsidie-instrument voor MKB is de maximale Gevraagde Subsidie voor MKBs tezamen € 300.000 en voor OOs tezamen € 150.000!</t>
  </si>
  <si>
    <t>FOUT: De Penvoerder (Deelnemer 1) moet altijd een onderzoeksorganisatie zijn, tenzij het een subsidie-instrument voor MKB is!</t>
  </si>
  <si>
    <t>FOUT: Alleen Onderzoeksorganisaties ontvangen subsidie, tenzij het een subsidie-instrument voor MKB is!</t>
  </si>
  <si>
    <t>FOUT: Bij een subsidie-instrument voor MKB zijn kostencategorieën FO en EO niet toegestaan!</t>
  </si>
  <si>
    <t>FOUT: Bij een subsidie-intsrument voor MKB moeten de deelnemers MKB of onderzoeksorganisatie zijn!</t>
  </si>
  <si>
    <t>SUM Maximale Subsidie MKBs &lt;= € 300,000, als MKB-call</t>
  </si>
  <si>
    <t>SUM Maximale Subsidie OOs &lt;= € 150,000, als MKB-call</t>
  </si>
  <si>
    <t>f. Aan deze begroting kunnen geen rechten worden ontleend!</t>
  </si>
  <si>
    <t>Is GB?</t>
  </si>
  <si>
    <t>Gevraagd - Max EO, als &gt;0</t>
  </si>
  <si>
    <t>bg-v20260123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</si>
</sst>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 #,##0.00_ ;_ * \-#,##0.00_ ;_ * &quot;-&quot;??_ ;_ @_ "/>
    <numFmt numFmtId="165" formatCode="_ [$€-413]* #,##0_ ;_ [$€-413]* \-#,##0_ ;_ [$€-413]* &quot; - &quot;_ ;_ @_ "/>
    <numFmt numFmtId="166" formatCode="0.0%"/>
    <numFmt numFmtId="167" formatCode="_ [$€-413]* #,##0.00_ ;_ [$€-413]* \-#,##0.00_ ;_ [$€-413]* &quot; - &quot;_ ;_ @_ "/>
    <numFmt numFmtId="168" formatCode=";;;"/>
    <numFmt numFmtId="169" formatCode="_ [$€-413]\ * #,##0_ ;_ [$€-413]\ * \-#,##0_ ;;_ @_ "/>
    <numFmt numFmtId="170" formatCode="_ [$€-413]\ * #,##0_ ;_ [$€-413]\ * \-#,##0_ ;\ ;_ @_ "/>
    <numFmt numFmtId="171" formatCode="??/??"/>
  </numFmts>
  <fonts count="58"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1"/>
      <color rgb="FF0000FF"/>
      <name val="Calibri"/>
      <family val="2"/>
      <scheme val="minor"/>
    </font>
    <font>
      <sz val="11"/>
      <color rgb="FF0000FF"/>
      <name val="Calibri"/>
      <family val="2"/>
      <scheme val="minor"/>
    </font>
    <font>
      <b/>
      <sz val="11"/>
      <name val="Calibri"/>
      <family val="2"/>
      <scheme val="minor"/>
    </font>
    <font>
      <sz val="11"/>
      <name val="Calibri"/>
      <family val="2"/>
      <scheme val="minor"/>
    </font>
    <font>
      <u/>
      <sz val="11"/>
      <color theme="10"/>
      <name val="Calibri"/>
      <family val="2"/>
      <scheme val="minor"/>
    </font>
    <font>
      <sz val="11"/>
      <name val="Calibri"/>
      <family val="2"/>
    </font>
    <font>
      <b/>
      <sz val="24"/>
      <color theme="1"/>
      <name val="Arial"/>
      <family val="2"/>
    </font>
    <font>
      <i/>
      <sz val="10"/>
      <color theme="1"/>
      <name val="Arial"/>
      <family val="2"/>
    </font>
    <font>
      <i/>
      <sz val="10"/>
      <color indexed="8"/>
      <name val="Arial"/>
      <family val="2"/>
    </font>
    <font>
      <b/>
      <sz val="10"/>
      <color theme="1"/>
      <name val="Arial"/>
      <family val="2"/>
    </font>
    <font>
      <sz val="10"/>
      <color indexed="8"/>
      <name val="Arial"/>
      <family val="2"/>
    </font>
    <font>
      <sz val="24"/>
      <color theme="1"/>
      <name val="Arial"/>
      <family val="2"/>
    </font>
    <font>
      <b/>
      <i/>
      <sz val="10"/>
      <color theme="1"/>
      <name val="Arial"/>
      <family val="2"/>
    </font>
    <font>
      <b/>
      <sz val="10"/>
      <color indexed="8"/>
      <name val="Arial"/>
      <family val="2"/>
    </font>
    <font>
      <b/>
      <sz val="10"/>
      <name val="Arial"/>
      <family val="2"/>
    </font>
    <font>
      <b/>
      <i/>
      <sz val="11"/>
      <name val="Calibri"/>
      <family val="2"/>
      <scheme val="minor"/>
    </font>
    <font>
      <i/>
      <sz val="11"/>
      <name val="Calibri"/>
      <family val="2"/>
    </font>
    <font>
      <b/>
      <sz val="11"/>
      <color theme="1"/>
      <name val="Calibri Light"/>
      <family val="2"/>
      <scheme val="major"/>
    </font>
    <font>
      <sz val="11"/>
      <name val="Calibri Light"/>
      <family val="2"/>
      <scheme val="major"/>
    </font>
    <font>
      <sz val="11"/>
      <color rgb="FF0000FF"/>
      <name val="Calibri Light"/>
      <family val="2"/>
      <scheme val="major"/>
    </font>
    <font>
      <b/>
      <sz val="11"/>
      <color theme="0"/>
      <name val="Calibri Light"/>
      <family val="2"/>
      <scheme val="major"/>
    </font>
    <font>
      <sz val="11"/>
      <color theme="1"/>
      <name val="Calibri Light"/>
      <family val="2"/>
      <scheme val="major"/>
    </font>
    <font>
      <b/>
      <sz val="11"/>
      <color rgb="FF0000FF"/>
      <name val="Calibri Light"/>
      <family val="2"/>
      <scheme val="major"/>
    </font>
    <font>
      <u/>
      <sz val="10"/>
      <color theme="10"/>
      <name val="Arial"/>
      <family val="2"/>
    </font>
    <font>
      <sz val="8"/>
      <name val="Arial"/>
      <family val="2"/>
    </font>
    <font>
      <sz val="10"/>
      <color rgb="FFFF0000"/>
      <name val="Arial"/>
      <family val="2"/>
    </font>
    <font>
      <b/>
      <i/>
      <sz val="11"/>
      <color theme="4"/>
      <name val="Arial"/>
      <family val="2"/>
    </font>
    <font>
      <sz val="11"/>
      <color theme="1"/>
      <name val="Arial"/>
      <family val="2"/>
    </font>
    <font>
      <i/>
      <sz val="11"/>
      <color theme="1"/>
      <name val="Arial"/>
      <family val="2"/>
    </font>
    <font>
      <b/>
      <i/>
      <sz val="11"/>
      <color theme="1"/>
      <name val="Arial"/>
      <family val="2"/>
    </font>
    <font>
      <i/>
      <sz val="11"/>
      <name val="Calibri"/>
      <family val="2"/>
      <scheme val="minor"/>
    </font>
    <font>
      <b/>
      <sz val="11"/>
      <color theme="0"/>
      <name val="Calibri"/>
      <family val="2"/>
      <scheme val="minor"/>
    </font>
    <font>
      <b/>
      <sz val="10"/>
      <color theme="4"/>
      <name val="Arial"/>
      <family val="2"/>
    </font>
    <font>
      <sz val="10"/>
      <color theme="4"/>
      <name val="Arial"/>
      <family val="2"/>
    </font>
    <font>
      <b/>
      <sz val="14"/>
      <color theme="4"/>
      <name val="Arial"/>
      <family val="2"/>
    </font>
    <font>
      <sz val="14"/>
      <color theme="4"/>
      <name val="Arial"/>
      <family val="2"/>
    </font>
    <font>
      <b/>
      <sz val="10"/>
      <color theme="7"/>
      <name val="Arial"/>
      <family val="2"/>
    </font>
    <font>
      <sz val="10"/>
      <color rgb="FF0000FF"/>
      <name val="Arial"/>
      <family val="2"/>
    </font>
    <font>
      <sz val="10"/>
      <name val="Arial"/>
      <family val="2"/>
    </font>
    <font>
      <sz val="10"/>
      <color rgb="FFC00000"/>
      <name val="Arial"/>
      <family val="2"/>
    </font>
    <font>
      <sz val="11"/>
      <color rgb="FFC00000"/>
      <name val="Calibri"/>
      <family val="2"/>
      <scheme val="minor"/>
    </font>
    <font>
      <b/>
      <sz val="10"/>
      <color indexed="53"/>
      <name val="Arial"/>
      <family val="2"/>
    </font>
  </fonts>
  <fills count="29">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8" tint="0.89999084444715716"/>
        <bgColor indexed="64"/>
      </patternFill>
    </fill>
    <fill>
      <patternFill patternType="solid">
        <fgColor theme="3" tint="0.79998168889431442"/>
        <bgColor indexed="64"/>
      </patternFill>
    </fill>
    <fill>
      <patternFill patternType="solid">
        <fgColor theme="4"/>
        <bgColor indexed="64"/>
      </patternFill>
    </fill>
    <fill>
      <patternFill patternType="solid">
        <fgColor theme="2" tint="-9.9978637043366805E-2"/>
        <bgColor indexed="64"/>
      </patternFill>
    </fill>
    <fill>
      <patternFill patternType="solid">
        <fgColor rgb="FFE6E6E6"/>
        <bgColor indexed="64"/>
      </patternFill>
    </fill>
    <fill>
      <patternFill patternType="solid">
        <fgColor rgb="FFFFF1E7"/>
        <bgColor indexed="64"/>
      </patternFill>
    </fill>
    <fill>
      <patternFill patternType="solid">
        <fgColor theme="9" tint="0.79998168889431442"/>
        <bgColor indexed="64"/>
      </patternFill>
    </fill>
    <fill>
      <patternFill patternType="solid">
        <fgColor theme="7"/>
        <bgColor indexed="64"/>
      </patternFill>
    </fill>
    <fill>
      <patternFill patternType="solid">
        <fgColor rgb="FFEBEBEB"/>
        <bgColor indexed="64"/>
      </patternFill>
    </fill>
    <fill>
      <patternFill patternType="solid">
        <fgColor rgb="FFCCFF33"/>
        <bgColor indexed="64"/>
      </patternFill>
    </fill>
    <fill>
      <patternFill patternType="solid">
        <fgColor theme="0" tint="-0.14999847407452621"/>
        <bgColor indexed="64"/>
      </patternFill>
    </fill>
    <fill>
      <patternFill patternType="solid">
        <fgColor theme="5"/>
        <bgColor indexed="64"/>
      </patternFill>
    </fill>
    <fill>
      <patternFill patternType="solid">
        <fgColor theme="5"/>
        <bgColor theme="5"/>
      </patternFill>
    </fill>
    <fill>
      <patternFill patternType="solid">
        <fgColor theme="0" tint="-0.34998626667073579"/>
        <bgColor indexed="64"/>
      </patternFill>
    </fill>
    <fill>
      <patternFill patternType="solid">
        <fgColor theme="9" tint="0.59999389629810485"/>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74999237037263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8" tint="0.499984740745262"/>
        <bgColor indexed="64"/>
      </patternFill>
    </fill>
    <fill>
      <patternFill patternType="solid">
        <fgColor rgb="FFCFCFFF"/>
        <bgColor indexed="64"/>
      </patternFill>
    </fill>
  </fills>
  <borders count="146">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medium">
        <color indexed="64"/>
      </left>
      <right style="thin">
        <color theme="2"/>
      </right>
      <top style="medium">
        <color indexed="64"/>
      </top>
      <bottom style="thin">
        <color theme="2"/>
      </bottom>
      <diagonal/>
    </border>
    <border>
      <left style="thin">
        <color theme="2"/>
      </left>
      <right style="medium">
        <color indexed="64"/>
      </right>
      <top style="medium">
        <color indexed="64"/>
      </top>
      <bottom style="thin">
        <color theme="2"/>
      </bottom>
      <diagonal/>
    </border>
    <border>
      <left style="medium">
        <color indexed="64"/>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style="medium">
        <color indexed="64"/>
      </right>
      <top style="thin">
        <color theme="2"/>
      </top>
      <bottom style="medium">
        <color indexed="64"/>
      </bottom>
      <diagonal/>
    </border>
    <border>
      <left style="thin">
        <color theme="2"/>
      </left>
      <right style="thin">
        <color theme="2"/>
      </right>
      <top/>
      <bottom/>
      <diagonal/>
    </border>
    <border>
      <left style="medium">
        <color indexed="64"/>
      </left>
      <right style="thin">
        <color theme="2"/>
      </right>
      <top style="thin">
        <color theme="2"/>
      </top>
      <bottom style="thin">
        <color theme="2"/>
      </bottom>
      <diagonal/>
    </border>
    <border>
      <left style="thin">
        <color theme="2"/>
      </left>
      <right style="medium">
        <color indexed="64"/>
      </right>
      <top style="thin">
        <color theme="2"/>
      </top>
      <bottom style="thin">
        <color theme="2"/>
      </bottom>
      <diagonal/>
    </border>
    <border>
      <left/>
      <right style="thin">
        <color theme="2"/>
      </right>
      <top style="thin">
        <color theme="2"/>
      </top>
      <bottom style="medium">
        <color indexed="64"/>
      </bottom>
      <diagonal/>
    </border>
    <border>
      <left style="medium">
        <color indexed="64"/>
      </left>
      <right style="medium">
        <color indexed="64"/>
      </right>
      <top style="medium">
        <color indexed="64"/>
      </top>
      <bottom style="thin">
        <color theme="2"/>
      </bottom>
      <diagonal/>
    </border>
    <border>
      <left style="medium">
        <color indexed="64"/>
      </left>
      <right style="medium">
        <color indexed="64"/>
      </right>
      <top style="thin">
        <color theme="2"/>
      </top>
      <bottom style="medium">
        <color indexed="64"/>
      </bottom>
      <diagonal/>
    </border>
    <border>
      <left style="medium">
        <color indexed="64"/>
      </left>
      <right style="thin">
        <color theme="2"/>
      </right>
      <top/>
      <bottom style="thin">
        <color theme="2"/>
      </bottom>
      <diagonal/>
    </border>
    <border>
      <left style="thin">
        <color theme="2"/>
      </left>
      <right style="medium">
        <color indexed="64"/>
      </right>
      <top/>
      <bottom style="thin">
        <color theme="2"/>
      </bottom>
      <diagonal/>
    </border>
    <border>
      <left style="medium">
        <color indexed="64"/>
      </left>
      <right style="thin">
        <color theme="2"/>
      </right>
      <top style="medium">
        <color indexed="64"/>
      </top>
      <bottom style="medium">
        <color indexed="64"/>
      </bottom>
      <diagonal/>
    </border>
    <border>
      <left style="thin">
        <color theme="2"/>
      </left>
      <right style="thin">
        <color theme="2"/>
      </right>
      <top style="medium">
        <color indexed="64"/>
      </top>
      <bottom style="medium">
        <color indexed="64"/>
      </bottom>
      <diagonal/>
    </border>
    <border>
      <left style="thin">
        <color theme="2"/>
      </left>
      <right style="medium">
        <color indexed="64"/>
      </right>
      <top style="medium">
        <color indexed="64"/>
      </top>
      <bottom style="medium">
        <color indexed="64"/>
      </bottom>
      <diagonal/>
    </border>
    <border>
      <left style="thin">
        <color theme="2"/>
      </left>
      <right/>
      <top style="thin">
        <color theme="2"/>
      </top>
      <bottom style="thin">
        <color theme="2"/>
      </bottom>
      <diagonal/>
    </border>
    <border>
      <left/>
      <right/>
      <top style="thin">
        <color theme="2"/>
      </top>
      <bottom style="thin">
        <color theme="2"/>
      </bottom>
      <diagonal/>
    </border>
    <border>
      <left style="medium">
        <color indexed="64"/>
      </left>
      <right/>
      <top style="thin">
        <color theme="2"/>
      </top>
      <bottom style="medium">
        <color indexed="64"/>
      </bottom>
      <diagonal/>
    </border>
    <border>
      <left/>
      <right style="medium">
        <color indexed="64"/>
      </right>
      <top style="thin">
        <color theme="2"/>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2"/>
      </left>
      <right/>
      <top style="medium">
        <color indexed="64"/>
      </top>
      <bottom style="medium">
        <color indexed="64"/>
      </bottom>
      <diagonal/>
    </border>
    <border>
      <left style="thin">
        <color theme="2"/>
      </left>
      <right/>
      <top/>
      <bottom style="thin">
        <color theme="2"/>
      </bottom>
      <diagonal/>
    </border>
    <border>
      <left style="medium">
        <color indexed="64"/>
      </left>
      <right style="medium">
        <color indexed="64"/>
      </right>
      <top style="thin">
        <color theme="2"/>
      </top>
      <bottom style="thin">
        <color theme="2"/>
      </bottom>
      <diagonal/>
    </border>
    <border>
      <left/>
      <right/>
      <top/>
      <bottom style="thin">
        <color theme="2"/>
      </bottom>
      <diagonal/>
    </border>
    <border>
      <left/>
      <right style="medium">
        <color indexed="64"/>
      </right>
      <top style="medium">
        <color indexed="64"/>
      </top>
      <bottom style="thin">
        <color theme="2"/>
      </bottom>
      <diagonal/>
    </border>
    <border>
      <left/>
      <right style="medium">
        <color indexed="64"/>
      </right>
      <top style="thin">
        <color theme="2"/>
      </top>
      <bottom style="thin">
        <color theme="2"/>
      </bottom>
      <diagonal/>
    </border>
    <border>
      <left style="medium">
        <color indexed="64"/>
      </left>
      <right/>
      <top style="medium">
        <color indexed="64"/>
      </top>
      <bottom style="thin">
        <color theme="2"/>
      </bottom>
      <diagonal/>
    </border>
    <border>
      <left style="medium">
        <color indexed="64"/>
      </left>
      <right/>
      <top style="thin">
        <color theme="2"/>
      </top>
      <bottom style="thin">
        <color theme="2"/>
      </bottom>
      <diagonal/>
    </border>
    <border>
      <left style="medium">
        <color indexed="64"/>
      </left>
      <right style="medium">
        <color indexed="64"/>
      </right>
      <top style="thin">
        <color theme="2"/>
      </top>
      <bottom/>
      <diagonal/>
    </border>
    <border>
      <left style="medium">
        <color indexed="64"/>
      </left>
      <right style="thin">
        <color theme="2"/>
      </right>
      <top style="medium">
        <color indexed="64"/>
      </top>
      <bottom/>
      <diagonal/>
    </border>
    <border>
      <left style="medium">
        <color indexed="64"/>
      </left>
      <right style="thin">
        <color theme="2"/>
      </right>
      <top/>
      <bottom style="medium">
        <color indexed="64"/>
      </bottom>
      <diagonal/>
    </border>
    <border>
      <left/>
      <right/>
      <top style="medium">
        <color indexed="64"/>
      </top>
      <bottom style="thin">
        <color theme="2"/>
      </bottom>
      <diagonal/>
    </border>
    <border>
      <left/>
      <right/>
      <top style="thin">
        <color theme="2"/>
      </top>
      <bottom style="medium">
        <color indexed="64"/>
      </bottom>
      <diagonal/>
    </border>
    <border>
      <left/>
      <right style="thin">
        <color theme="2"/>
      </right>
      <top style="medium">
        <color indexed="64"/>
      </top>
      <bottom style="medium">
        <color indexed="64"/>
      </bottom>
      <diagonal/>
    </border>
    <border>
      <left style="thin">
        <color theme="2"/>
      </left>
      <right/>
      <top style="thin">
        <color theme="2"/>
      </top>
      <bottom style="medium">
        <color indexed="64"/>
      </bottom>
      <diagonal/>
    </border>
    <border>
      <left style="thin">
        <color theme="2"/>
      </left>
      <right style="thin">
        <color indexed="64"/>
      </right>
      <top style="medium">
        <color indexed="64"/>
      </top>
      <bottom style="thin">
        <color theme="2"/>
      </bottom>
      <diagonal/>
    </border>
    <border>
      <left style="thin">
        <color theme="2"/>
      </left>
      <right style="thin">
        <color indexed="64"/>
      </right>
      <top style="thin">
        <color theme="2"/>
      </top>
      <bottom style="thin">
        <color theme="2"/>
      </bottom>
      <diagonal/>
    </border>
    <border>
      <left style="thin">
        <color theme="2"/>
      </left>
      <right style="thin">
        <color indexed="64"/>
      </right>
      <top style="thin">
        <color theme="2"/>
      </top>
      <bottom style="medium">
        <color indexed="64"/>
      </bottom>
      <diagonal/>
    </border>
    <border>
      <left style="medium">
        <color indexed="64"/>
      </left>
      <right style="thin">
        <color indexed="64"/>
      </right>
      <top style="medium">
        <color indexed="64"/>
      </top>
      <bottom style="thin">
        <color theme="2"/>
      </bottom>
      <diagonal/>
    </border>
    <border>
      <left/>
      <right style="thin">
        <color indexed="64"/>
      </right>
      <top style="medium">
        <color indexed="64"/>
      </top>
      <bottom style="thin">
        <color theme="2"/>
      </bottom>
      <diagonal/>
    </border>
    <border>
      <left style="medium">
        <color indexed="64"/>
      </left>
      <right style="thin">
        <color indexed="64"/>
      </right>
      <top style="thin">
        <color theme="2"/>
      </top>
      <bottom style="thin">
        <color theme="2"/>
      </bottom>
      <diagonal/>
    </border>
    <border>
      <left/>
      <right style="thin">
        <color indexed="64"/>
      </right>
      <top style="thin">
        <color theme="2"/>
      </top>
      <bottom style="thin">
        <color theme="2"/>
      </bottom>
      <diagonal/>
    </border>
    <border>
      <left style="thin">
        <color indexed="64"/>
      </left>
      <right style="medium">
        <color indexed="64"/>
      </right>
      <top style="thin">
        <color theme="2"/>
      </top>
      <bottom style="thin">
        <color theme="2"/>
      </bottom>
      <diagonal/>
    </border>
    <border>
      <left style="thin">
        <color indexed="64"/>
      </left>
      <right style="medium">
        <color indexed="64"/>
      </right>
      <top style="thin">
        <color theme="2"/>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theme="2"/>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theme="2"/>
      </bottom>
      <diagonal/>
    </border>
    <border>
      <left style="thin">
        <color indexed="64"/>
      </left>
      <right style="thin">
        <color indexed="64"/>
      </right>
      <top style="thin">
        <color theme="2"/>
      </top>
      <bottom style="thin">
        <color theme="2"/>
      </bottom>
      <diagonal/>
    </border>
    <border>
      <left style="thin">
        <color indexed="64"/>
      </left>
      <right style="thin">
        <color indexed="64"/>
      </right>
      <top style="thin">
        <color theme="2"/>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theme="2"/>
      </bottom>
      <diagonal/>
    </border>
    <border>
      <left style="thin">
        <color indexed="64"/>
      </left>
      <right/>
      <top style="thin">
        <color theme="2"/>
      </top>
      <bottom style="thin">
        <color theme="2"/>
      </bottom>
      <diagonal/>
    </border>
    <border>
      <left style="thin">
        <color indexed="64"/>
      </left>
      <right/>
      <top style="thin">
        <color theme="2"/>
      </top>
      <bottom style="medium">
        <color indexed="64"/>
      </bottom>
      <diagonal/>
    </border>
    <border>
      <left/>
      <right style="thin">
        <color theme="2"/>
      </right>
      <top/>
      <bottom style="thin">
        <color them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medium">
        <color indexed="64"/>
      </bottom>
      <diagonal/>
    </border>
    <border>
      <left style="thin">
        <color theme="0" tint="-0.14999847407452621"/>
      </left>
      <right style="medium">
        <color indexed="64"/>
      </right>
      <top style="medium">
        <color indexed="64"/>
      </top>
      <bottom style="medium">
        <color indexed="64"/>
      </bottom>
      <diagonal/>
    </border>
    <border>
      <left style="thin">
        <color theme="0" tint="-0.14999847407452621"/>
      </left>
      <right/>
      <top style="medium">
        <color indexed="64"/>
      </top>
      <bottom style="medium">
        <color indexed="64"/>
      </bottom>
      <diagonal/>
    </border>
    <border>
      <left/>
      <right/>
      <top style="medium">
        <color indexed="64"/>
      </top>
      <bottom/>
      <diagonal/>
    </border>
    <border>
      <left style="thin">
        <color theme="0" tint="-0.14999847407452621"/>
      </left>
      <right/>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theme="2"/>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theme="2"/>
      </bottom>
      <diagonal/>
    </border>
    <border>
      <left/>
      <right style="thin">
        <color indexed="64"/>
      </right>
      <top style="medium">
        <color indexed="64"/>
      </top>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thin">
        <color theme="0" tint="-0.14999847407452621"/>
      </right>
      <top style="medium">
        <color indexed="64"/>
      </top>
      <bottom style="medium">
        <color indexed="64"/>
      </bottom>
      <diagonal/>
    </border>
    <border>
      <left style="thin">
        <color theme="0" tint="-0.14999847407452621"/>
      </left>
      <right style="medium">
        <color indexed="64"/>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right/>
      <top style="medium">
        <color indexed="64"/>
      </top>
      <bottom style="thin">
        <color theme="0" tint="-0.14999847407452621"/>
      </bottom>
      <diagonal/>
    </border>
    <border>
      <left/>
      <right style="thin">
        <color theme="0" tint="-0.14999847407452621"/>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theme="0" tint="-0.14999847407452621"/>
      </left>
      <right style="medium">
        <color indexed="64"/>
      </right>
      <top style="medium">
        <color indexed="64"/>
      </top>
      <bottom style="thin">
        <color theme="0" tint="-0.14999847407452621"/>
      </bottom>
      <diagonal/>
    </border>
    <border>
      <left style="thin">
        <color theme="0" tint="-0.14999847407452621"/>
      </left>
      <right style="thin">
        <color theme="0" tint="-0.14999847407452621"/>
      </right>
      <top style="thin">
        <color theme="0" tint="-0.14999847407452621"/>
      </top>
      <bottom style="medium">
        <color indexed="64"/>
      </bottom>
      <diagonal/>
    </border>
    <border>
      <left style="thin">
        <color theme="0" tint="-0.14999847407452621"/>
      </left>
      <right style="medium">
        <color indexed="64"/>
      </right>
      <top style="thin">
        <color theme="0" tint="-0.14999847407452621"/>
      </top>
      <bottom style="medium">
        <color indexed="64"/>
      </bottom>
      <diagonal/>
    </border>
    <border>
      <left/>
      <right style="thin">
        <color theme="0" tint="-0.14999847407452621"/>
      </right>
      <top style="thin">
        <color theme="0" tint="-0.14999847407452621"/>
      </top>
      <bottom style="medium">
        <color indexed="64"/>
      </bottom>
      <diagonal/>
    </border>
    <border>
      <left/>
      <right style="medium">
        <color indexed="64"/>
      </right>
      <top style="medium">
        <color indexed="64"/>
      </top>
      <bottom style="thin">
        <color theme="0" tint="-0.14999847407452621"/>
      </bottom>
      <diagonal/>
    </border>
    <border>
      <left/>
      <right style="medium">
        <color indexed="64"/>
      </right>
      <top style="thin">
        <color theme="0" tint="-0.14999847407452621"/>
      </top>
      <bottom style="thin">
        <color theme="0" tint="-0.14999847407452621"/>
      </bottom>
      <diagonal/>
    </border>
    <border>
      <left/>
      <right style="medium">
        <color indexed="64"/>
      </right>
      <top style="thin">
        <color theme="0" tint="-0.14999847407452621"/>
      </top>
      <bottom style="medium">
        <color indexed="64"/>
      </bottom>
      <diagonal/>
    </border>
    <border>
      <left style="thin">
        <color theme="0" tint="-0.14999847407452621"/>
      </left>
      <right style="thin">
        <color theme="0" tint="-0.14999847407452621"/>
      </right>
      <top style="thin">
        <color theme="0" tint="-0.14999847407452621"/>
      </top>
      <bottom/>
      <diagonal/>
    </border>
    <border>
      <left/>
      <right style="thin">
        <color theme="5" tint="0.39997558519241921"/>
      </right>
      <top style="thin">
        <color theme="5" tint="0.39997558519241921"/>
      </top>
      <bottom/>
      <diagonal/>
    </border>
    <border>
      <left style="thin">
        <color theme="0" tint="-0.249977111117893"/>
      </left>
      <right style="thin">
        <color theme="0" tint="-0.249977111117893"/>
      </right>
      <top style="thin">
        <color theme="0" tint="-0.249977111117893"/>
      </top>
      <bottom style="thin">
        <color theme="5" tint="0.39997558519241921"/>
      </bottom>
      <diagonal/>
    </border>
    <border>
      <left style="thin">
        <color theme="0" tint="-0.249977111117893"/>
      </left>
      <right style="thin">
        <color theme="0" tint="-0.249977111117893"/>
      </right>
      <top style="thin">
        <color theme="5" tint="0.39997558519241921"/>
      </top>
      <bottom style="thin">
        <color theme="5" tint="0.39997558519241921"/>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5" tint="0.39997558519241921"/>
      </top>
      <bottom style="thin">
        <color theme="0" tint="-0.249977111117893"/>
      </bottom>
      <diagonal/>
    </border>
    <border>
      <left style="thin">
        <color theme="0"/>
      </left>
      <right style="thin">
        <color theme="0"/>
      </right>
      <top style="thin">
        <color theme="0"/>
      </top>
      <bottom style="thin">
        <color theme="0"/>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style="thin">
        <color theme="0"/>
      </right>
      <top style="thin">
        <color theme="0"/>
      </top>
      <bottom style="thin">
        <color theme="0"/>
      </bottom>
      <diagonal/>
    </border>
    <border>
      <left style="thin">
        <color theme="0"/>
      </left>
      <right style="thin">
        <color theme="0" tint="-0.14999847407452621"/>
      </right>
      <top style="thin">
        <color theme="0"/>
      </top>
      <bottom style="thin">
        <color theme="0"/>
      </bottom>
      <diagonal/>
    </border>
    <border>
      <left style="thin">
        <color theme="0"/>
      </left>
      <right style="thin">
        <color theme="0" tint="-0.14999847407452621"/>
      </right>
      <top style="thin">
        <color theme="0"/>
      </top>
      <bottom style="thin">
        <color theme="0" tint="-0.14999847407452621"/>
      </bottom>
      <diagonal/>
    </border>
    <border>
      <left style="thin">
        <color theme="0" tint="-0.14999847407452621"/>
      </left>
      <right style="thin">
        <color theme="0"/>
      </right>
      <top style="thin">
        <color theme="0" tint="-0.14999847407452621"/>
      </top>
      <bottom style="thin">
        <color theme="0"/>
      </bottom>
      <diagonal/>
    </border>
    <border>
      <left style="thin">
        <color theme="0"/>
      </left>
      <right style="thin">
        <color theme="0"/>
      </right>
      <top style="thin">
        <color theme="0" tint="-0.14999847407452621"/>
      </top>
      <bottom style="thin">
        <color theme="0"/>
      </bottom>
      <diagonal/>
    </border>
    <border>
      <left style="thin">
        <color theme="0"/>
      </left>
      <right style="thin">
        <color theme="0" tint="-0.14999847407452621"/>
      </right>
      <top style="thin">
        <color theme="0" tint="-0.14999847407452621"/>
      </top>
      <bottom style="thin">
        <color theme="0"/>
      </bottom>
      <diagonal/>
    </border>
    <border>
      <left/>
      <right style="double">
        <color indexed="64"/>
      </right>
      <top/>
      <bottom/>
      <diagonal/>
    </border>
    <border>
      <left/>
      <right style="thick">
        <color indexed="64"/>
      </right>
      <top/>
      <bottom/>
      <diagonal/>
    </border>
    <border>
      <left style="medium">
        <color indexed="64"/>
      </left>
      <right style="thin">
        <color theme="2"/>
      </right>
      <top style="thin">
        <color theme="2"/>
      </top>
      <bottom/>
      <diagonal/>
    </border>
    <border>
      <left/>
      <right/>
      <top style="thin">
        <color theme="2"/>
      </top>
      <bottom/>
      <diagonal/>
    </border>
    <border>
      <left style="medium">
        <color indexed="64"/>
      </left>
      <right style="thin">
        <color indexed="64"/>
      </right>
      <top style="thin">
        <color theme="2"/>
      </top>
      <bottom/>
      <diagonal/>
    </border>
    <border>
      <left style="thin">
        <color indexed="64"/>
      </left>
      <right style="thin">
        <color indexed="64"/>
      </right>
      <top style="thin">
        <color theme="2"/>
      </top>
      <bottom/>
      <diagonal/>
    </border>
    <border>
      <left style="thin">
        <color indexed="64"/>
      </left>
      <right/>
      <top style="thin">
        <color theme="2"/>
      </top>
      <bottom/>
      <diagonal/>
    </border>
    <border>
      <left style="thin">
        <color theme="0" tint="-0.14999847407452621"/>
      </left>
      <right style="medium">
        <color indexed="64"/>
      </right>
      <top style="thin">
        <color theme="0" tint="-0.14999847407452621"/>
      </top>
      <bottom/>
      <diagonal/>
    </border>
    <border>
      <left/>
      <right style="medium">
        <color indexed="64"/>
      </right>
      <top style="thin">
        <color theme="0" tint="-0.14999847407452621"/>
      </top>
      <bottom/>
      <diagonal/>
    </border>
    <border>
      <left/>
      <right style="thin">
        <color indexed="64"/>
      </right>
      <top style="thin">
        <color theme="2"/>
      </top>
      <bottom/>
      <diagonal/>
    </border>
    <border>
      <left style="thin">
        <color indexed="64"/>
      </left>
      <right style="medium">
        <color indexed="64"/>
      </right>
      <top style="thin">
        <color theme="2"/>
      </top>
      <bottom/>
      <diagonal/>
    </border>
    <border>
      <left/>
      <right style="medium">
        <color indexed="64"/>
      </right>
      <top style="thin">
        <color theme="2"/>
      </top>
      <bottom/>
      <diagonal/>
    </border>
    <border>
      <left/>
      <right style="thin">
        <color theme="0" tint="-0.14999847407452621"/>
      </right>
      <top style="medium">
        <color indexed="64"/>
      </top>
      <bottom style="thin">
        <color theme="0" tint="-0.14999847407452621"/>
      </bottom>
      <diagonal/>
    </border>
    <border>
      <left/>
      <right/>
      <top style="medium">
        <color indexed="64"/>
      </top>
      <bottom style="thin">
        <color theme="0" tint="-0.14996795556505021"/>
      </bottom>
      <diagonal/>
    </border>
    <border>
      <left style="thin">
        <color theme="0" tint="-0.149998474074526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top/>
      <bottom style="thick">
        <color theme="4"/>
      </bottom>
      <diagonal/>
    </border>
    <border>
      <left/>
      <right style="thick">
        <color theme="4"/>
      </right>
      <top/>
      <bottom/>
      <diagonal/>
    </border>
    <border>
      <left/>
      <right style="thick">
        <color theme="4"/>
      </right>
      <top/>
      <bottom style="thick">
        <color theme="4"/>
      </bottom>
      <diagonal/>
    </border>
    <border>
      <left style="thick">
        <color theme="4"/>
      </left>
      <right/>
      <top style="thick">
        <color theme="4"/>
      </top>
      <bottom/>
      <diagonal/>
    </border>
    <border>
      <left style="thick">
        <color theme="4"/>
      </left>
      <right/>
      <top/>
      <bottom/>
      <diagonal/>
    </border>
    <border>
      <left style="thin">
        <color indexed="64"/>
      </left>
      <right/>
      <top/>
      <bottom/>
      <diagonal/>
    </border>
    <border>
      <left style="thin">
        <color theme="0" tint="-0.14999847407452621"/>
      </left>
      <right/>
      <top/>
      <bottom style="medium">
        <color indexed="64"/>
      </bottom>
      <diagonal/>
    </border>
    <border>
      <left/>
      <right/>
      <top style="thin">
        <color theme="0" tint="-0.14996795556505021"/>
      </top>
      <bottom/>
      <diagonal/>
    </border>
    <border>
      <left/>
      <right style="medium">
        <color theme="0" tint="-0.499984740745262"/>
      </right>
      <top/>
      <bottom/>
      <diagonal/>
    </border>
    <border>
      <left/>
      <right/>
      <top style="thin">
        <color theme="4" tint="0.39997558519241921"/>
      </top>
      <bottom style="thin">
        <color theme="4" tint="0.39997558519241921"/>
      </bottom>
      <diagonal/>
    </border>
    <border>
      <left style="medium">
        <color indexed="64"/>
      </left>
      <right/>
      <top style="medium">
        <color indexed="64"/>
      </top>
      <bottom/>
      <diagonal/>
    </border>
    <border>
      <left/>
      <right style="medium">
        <color indexed="64"/>
      </right>
      <top style="medium">
        <color indexed="64"/>
      </top>
      <bottom/>
      <diagonal/>
    </border>
    <border>
      <left style="thin">
        <color theme="0"/>
      </left>
      <right/>
      <top style="thin">
        <color theme="0" tint="-0.14999847407452621"/>
      </top>
      <bottom style="thin">
        <color theme="0"/>
      </bottom>
      <diagonal/>
    </border>
    <border>
      <left/>
      <right style="thin">
        <color theme="0" tint="-0.14999847407452621"/>
      </right>
      <top style="thin">
        <color theme="0"/>
      </top>
      <bottom style="thin">
        <color theme="0"/>
      </bottom>
      <diagonal/>
    </border>
  </borders>
  <cellStyleXfs count="12">
    <xf numFmtId="0" fontId="0" fillId="0" borderId="0"/>
    <xf numFmtId="164" fontId="13" fillId="0" borderId="0" applyFont="0" applyFill="0" applyBorder="0" applyAlignment="0" applyProtection="0"/>
    <xf numFmtId="9" fontId="13" fillId="0" borderId="0" applyFont="0" applyFill="0" applyBorder="0" applyAlignment="0" applyProtection="0"/>
    <xf numFmtId="0" fontId="20" fillId="0" borderId="0" applyNumberFormat="0" applyFill="0" applyBorder="0" applyAlignment="0" applyProtection="0"/>
    <xf numFmtId="0" fontId="11" fillId="0" borderId="0"/>
    <xf numFmtId="164" fontId="10" fillId="0" borderId="0" applyFont="0" applyFill="0" applyBorder="0" applyAlignment="0" applyProtection="0"/>
    <xf numFmtId="9" fontId="10" fillId="0" borderId="0" applyFont="0" applyFill="0" applyBorder="0" applyAlignment="0" applyProtection="0"/>
    <xf numFmtId="0" fontId="10" fillId="0" borderId="0"/>
    <xf numFmtId="0" fontId="8" fillId="0" borderId="0"/>
    <xf numFmtId="0" fontId="7" fillId="0" borderId="0"/>
    <xf numFmtId="0" fontId="6" fillId="0" borderId="0"/>
    <xf numFmtId="0" fontId="4" fillId="0" borderId="0"/>
  </cellStyleXfs>
  <cellXfs count="472">
    <xf numFmtId="0" fontId="0" fillId="0" borderId="0" xfId="0"/>
    <xf numFmtId="0" fontId="14" fillId="0" borderId="0" xfId="0" applyFont="1"/>
    <xf numFmtId="0" fontId="17" fillId="0" borderId="0" xfId="0" applyFont="1"/>
    <xf numFmtId="0" fontId="19" fillId="0" borderId="0" xfId="0" applyFont="1"/>
    <xf numFmtId="0" fontId="0" fillId="0" borderId="0" xfId="0" applyAlignment="1">
      <alignment wrapText="1"/>
    </xf>
    <xf numFmtId="0" fontId="16" fillId="0" borderId="0" xfId="0" applyFont="1" applyAlignment="1">
      <alignment wrapText="1"/>
    </xf>
    <xf numFmtId="0" fontId="18" fillId="0" borderId="0" xfId="0" applyFont="1" applyAlignment="1">
      <alignment wrapText="1"/>
    </xf>
    <xf numFmtId="0" fontId="14" fillId="0" borderId="0" xfId="0" applyFont="1" applyAlignment="1">
      <alignment wrapText="1"/>
    </xf>
    <xf numFmtId="165" fontId="21" fillId="0" borderId="0" xfId="0" applyNumberFormat="1" applyFont="1"/>
    <xf numFmtId="0" fontId="18" fillId="2" borderId="0" xfId="0" applyFont="1" applyFill="1" applyAlignment="1">
      <alignment wrapText="1"/>
    </xf>
    <xf numFmtId="165" fontId="21" fillId="2" borderId="0" xfId="0" applyNumberFormat="1" applyFont="1" applyFill="1"/>
    <xf numFmtId="165" fontId="19" fillId="0" borderId="0" xfId="0" applyNumberFormat="1" applyFont="1"/>
    <xf numFmtId="0" fontId="18" fillId="14" borderId="0" xfId="0" applyFont="1" applyFill="1" applyAlignment="1">
      <alignment wrapText="1"/>
    </xf>
    <xf numFmtId="9" fontId="0" fillId="7" borderId="33" xfId="2" applyFont="1" applyFill="1" applyBorder="1" applyProtection="1"/>
    <xf numFmtId="0" fontId="0" fillId="0" borderId="68" xfId="0" applyBorder="1"/>
    <xf numFmtId="166" fontId="0" fillId="2" borderId="8" xfId="2" applyNumberFormat="1" applyFont="1" applyFill="1" applyBorder="1" applyProtection="1">
      <protection locked="0"/>
    </xf>
    <xf numFmtId="166" fontId="0" fillId="2" borderId="5" xfId="2" applyNumberFormat="1" applyFont="1" applyFill="1" applyBorder="1" applyProtection="1">
      <protection locked="0"/>
    </xf>
    <xf numFmtId="166" fontId="0" fillId="2" borderId="12" xfId="2" applyNumberFormat="1" applyFont="1" applyFill="1" applyBorder="1" applyProtection="1">
      <protection locked="0"/>
    </xf>
    <xf numFmtId="0" fontId="18" fillId="0" borderId="2" xfId="0" applyFont="1" applyBorder="1" applyAlignment="1">
      <alignment wrapText="1"/>
    </xf>
    <xf numFmtId="0" fontId="19" fillId="0" borderId="2" xfId="0" applyFont="1" applyBorder="1"/>
    <xf numFmtId="0" fontId="18" fillId="14" borderId="2" xfId="0" applyFont="1" applyFill="1" applyBorder="1" applyAlignment="1">
      <alignment wrapText="1"/>
    </xf>
    <xf numFmtId="0" fontId="22" fillId="0" borderId="5" xfId="0" applyFont="1" applyBorder="1"/>
    <xf numFmtId="0" fontId="22" fillId="0" borderId="7" xfId="0" applyFont="1" applyBorder="1" applyAlignment="1">
      <alignment vertical="top"/>
    </xf>
    <xf numFmtId="0" fontId="24" fillId="0" borderId="0" xfId="0" applyFont="1"/>
    <xf numFmtId="0" fontId="25" fillId="0" borderId="40" xfId="0" applyFont="1" applyBorder="1"/>
    <xf numFmtId="0" fontId="26" fillId="5" borderId="35" xfId="1" applyNumberFormat="1" applyFont="1" applyFill="1" applyBorder="1" applyAlignment="1" applyProtection="1">
      <alignment vertical="center"/>
    </xf>
    <xf numFmtId="0" fontId="26" fillId="0" borderId="0" xfId="1" applyNumberFormat="1" applyFont="1" applyFill="1" applyBorder="1" applyAlignment="1" applyProtection="1">
      <alignment vertical="center"/>
    </xf>
    <xf numFmtId="0" fontId="25" fillId="0" borderId="15" xfId="0" applyFont="1" applyBorder="1"/>
    <xf numFmtId="0" fontId="26" fillId="5" borderId="2" xfId="1" applyNumberFormat="1" applyFont="1" applyFill="1" applyBorder="1" applyAlignment="1" applyProtection="1">
      <alignment vertical="center"/>
    </xf>
    <xf numFmtId="0" fontId="25" fillId="0" borderId="41" xfId="0" applyFont="1" applyBorder="1"/>
    <xf numFmtId="0" fontId="26" fillId="5" borderId="28" xfId="1" applyNumberFormat="1" applyFont="1" applyFill="1" applyBorder="1" applyAlignment="1" applyProtection="1">
      <alignment vertical="center"/>
    </xf>
    <xf numFmtId="0" fontId="25" fillId="0" borderId="1" xfId="0" applyFont="1" applyBorder="1"/>
    <xf numFmtId="0" fontId="24" fillId="0" borderId="3" xfId="0" applyFont="1" applyBorder="1"/>
    <xf numFmtId="0" fontId="26" fillId="0" borderId="2" xfId="1" applyNumberFormat="1" applyFont="1" applyFill="1" applyBorder="1" applyAlignment="1" applyProtection="1">
      <alignment vertical="center"/>
    </xf>
    <xf numFmtId="0" fontId="25" fillId="0" borderId="4" xfId="0" applyFont="1" applyBorder="1"/>
    <xf numFmtId="0" fontId="25" fillId="0" borderId="9" xfId="0" applyFont="1" applyBorder="1"/>
    <xf numFmtId="0" fontId="25" fillId="0" borderId="46" xfId="0" applyFont="1" applyBorder="1"/>
    <xf numFmtId="0" fontId="25" fillId="0" borderId="35" xfId="0" applyFont="1" applyBorder="1" applyAlignment="1">
      <alignment horizontal="center"/>
    </xf>
    <xf numFmtId="0" fontId="25" fillId="0" borderId="9" xfId="0" applyFont="1" applyBorder="1" applyAlignment="1">
      <alignment horizontal="center"/>
    </xf>
    <xf numFmtId="0" fontId="25" fillId="0" borderId="10" xfId="0" applyFont="1" applyBorder="1" applyAlignment="1">
      <alignment horizontal="center"/>
    </xf>
    <xf numFmtId="0" fontId="25" fillId="0" borderId="18" xfId="0" applyFont="1" applyBorder="1"/>
    <xf numFmtId="165" fontId="25" fillId="5" borderId="18" xfId="0" applyNumberFormat="1" applyFont="1" applyFill="1" applyBorder="1"/>
    <xf numFmtId="0" fontId="25" fillId="0" borderId="34" xfId="0" applyFont="1" applyBorder="1"/>
    <xf numFmtId="0" fontId="25" fillId="0" borderId="6" xfId="0" applyFont="1" applyBorder="1"/>
    <xf numFmtId="0" fontId="25" fillId="0" borderId="5" xfId="0" applyFont="1" applyBorder="1"/>
    <xf numFmtId="0" fontId="0" fillId="0" borderId="5" xfId="0" applyBorder="1"/>
    <xf numFmtId="0" fontId="0" fillId="0" borderId="7" xfId="0" applyBorder="1"/>
    <xf numFmtId="0" fontId="0" fillId="0" borderId="6" xfId="0" applyBorder="1"/>
    <xf numFmtId="0" fontId="0" fillId="0" borderId="14" xfId="0" applyBorder="1"/>
    <xf numFmtId="0" fontId="0" fillId="2" borderId="15" xfId="0" applyFill="1" applyBorder="1" applyProtection="1">
      <protection locked="0"/>
    </xf>
    <xf numFmtId="0" fontId="0" fillId="2" borderId="47" xfId="0" applyFill="1" applyBorder="1" applyProtection="1">
      <protection locked="0"/>
    </xf>
    <xf numFmtId="167" fontId="0" fillId="2" borderId="36" xfId="0" applyNumberFormat="1" applyFill="1" applyBorder="1" applyProtection="1">
      <protection locked="0"/>
    </xf>
    <xf numFmtId="1" fontId="0" fillId="2" borderId="15" xfId="0" applyNumberFormat="1" applyFill="1" applyBorder="1" applyProtection="1">
      <protection locked="0"/>
    </xf>
    <xf numFmtId="165" fontId="0" fillId="5" borderId="16" xfId="0" applyNumberFormat="1" applyFill="1" applyBorder="1"/>
    <xf numFmtId="0" fontId="0" fillId="2" borderId="11" xfId="0" applyFill="1" applyBorder="1" applyProtection="1">
      <protection locked="0"/>
    </xf>
    <xf numFmtId="0" fontId="0" fillId="2" borderId="48" xfId="0" applyFill="1" applyBorder="1" applyProtection="1">
      <protection locked="0"/>
    </xf>
    <xf numFmtId="167" fontId="0" fillId="2" borderId="28" xfId="0" applyNumberFormat="1" applyFill="1" applyBorder="1" applyProtection="1">
      <protection locked="0"/>
    </xf>
    <xf numFmtId="1" fontId="0" fillId="2" borderId="11" xfId="0" applyNumberFormat="1" applyFill="1" applyBorder="1" applyProtection="1">
      <protection locked="0"/>
    </xf>
    <xf numFmtId="165" fontId="0" fillId="5" borderId="13" xfId="0" applyNumberFormat="1" applyFill="1" applyBorder="1"/>
    <xf numFmtId="0" fontId="0" fillId="0" borderId="26" xfId="0" applyBorder="1"/>
    <xf numFmtId="0" fontId="0" fillId="0" borderId="33" xfId="0" applyBorder="1"/>
    <xf numFmtId="165" fontId="0" fillId="5" borderId="39" xfId="0" applyNumberFormat="1" applyFill="1" applyBorder="1"/>
    <xf numFmtId="0" fontId="25" fillId="0" borderId="43" xfId="0" applyFont="1" applyBorder="1"/>
    <xf numFmtId="0" fontId="25" fillId="0" borderId="19" xfId="0" applyFont="1" applyBorder="1"/>
    <xf numFmtId="165" fontId="25" fillId="5" borderId="4" xfId="0" applyNumberFormat="1" applyFont="1" applyFill="1" applyBorder="1"/>
    <xf numFmtId="0" fontId="0" fillId="0" borderId="43" xfId="0" applyBorder="1"/>
    <xf numFmtId="0" fontId="0" fillId="0" borderId="8" xfId="0" applyBorder="1"/>
    <xf numFmtId="0" fontId="25" fillId="0" borderId="35"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167" fontId="0" fillId="2" borderId="53" xfId="0" applyNumberFormat="1" applyFill="1" applyBorder="1" applyProtection="1">
      <protection locked="0"/>
    </xf>
    <xf numFmtId="167" fontId="0" fillId="2" borderId="54" xfId="0" applyNumberFormat="1" applyFill="1" applyBorder="1" applyProtection="1">
      <protection locked="0"/>
    </xf>
    <xf numFmtId="0" fontId="0" fillId="0" borderId="18" xfId="0" applyBorder="1"/>
    <xf numFmtId="0" fontId="25" fillId="0" borderId="18" xfId="0" applyFont="1" applyBorder="1" applyAlignment="1">
      <alignment horizontal="center"/>
    </xf>
    <xf numFmtId="0" fontId="0" fillId="0" borderId="26" xfId="0" applyBorder="1" applyAlignment="1">
      <alignment horizontal="center"/>
    </xf>
    <xf numFmtId="0" fontId="0" fillId="0" borderId="25" xfId="0" applyBorder="1" applyAlignment="1">
      <alignment horizontal="center"/>
    </xf>
    <xf numFmtId="165" fontId="0" fillId="2" borderId="33" xfId="0" applyNumberFormat="1" applyFill="1" applyBorder="1" applyProtection="1">
      <protection locked="0"/>
    </xf>
    <xf numFmtId="0" fontId="0" fillId="0" borderId="25" xfId="0" applyBorder="1"/>
    <xf numFmtId="0" fontId="0" fillId="0" borderId="39" xfId="0" applyBorder="1"/>
    <xf numFmtId="165" fontId="0" fillId="2" borderId="19" xfId="0" applyNumberFormat="1" applyFill="1" applyBorder="1" applyProtection="1">
      <protection locked="0"/>
    </xf>
    <xf numFmtId="0" fontId="25" fillId="0" borderId="56" xfId="0" applyFont="1" applyBorder="1"/>
    <xf numFmtId="0" fontId="0" fillId="0" borderId="45" xfId="0" applyBorder="1"/>
    <xf numFmtId="165" fontId="25" fillId="0" borderId="4" xfId="0" applyNumberFormat="1" applyFont="1" applyBorder="1"/>
    <xf numFmtId="0" fontId="25" fillId="0" borderId="4" xfId="0" applyFont="1" applyBorder="1" applyAlignment="1">
      <alignment horizontal="center"/>
    </xf>
    <xf numFmtId="165" fontId="0" fillId="7" borderId="18" xfId="0" applyNumberFormat="1" applyFill="1" applyBorder="1"/>
    <xf numFmtId="0" fontId="0" fillId="0" borderId="56" xfId="0" applyBorder="1"/>
    <xf numFmtId="165" fontId="25" fillId="7" borderId="19" xfId="0" applyNumberFormat="1" applyFont="1" applyFill="1" applyBorder="1"/>
    <xf numFmtId="165" fontId="25" fillId="6" borderId="30" xfId="0" applyNumberFormat="1" applyFont="1" applyFill="1" applyBorder="1"/>
    <xf numFmtId="0" fontId="23" fillId="0" borderId="0" xfId="0" applyFont="1"/>
    <xf numFmtId="0" fontId="23" fillId="0" borderId="3" xfId="0" applyFont="1" applyBorder="1"/>
    <xf numFmtId="0" fontId="27" fillId="0" borderId="5" xfId="0" applyFont="1" applyBorder="1"/>
    <xf numFmtId="0" fontId="0" fillId="0" borderId="0" xfId="0" applyAlignment="1">
      <alignment vertical="top"/>
    </xf>
    <xf numFmtId="0" fontId="0" fillId="0" borderId="71" xfId="0" applyBorder="1" applyAlignment="1">
      <alignment vertical="top"/>
    </xf>
    <xf numFmtId="0" fontId="25" fillId="0" borderId="4" xfId="0" applyFont="1" applyBorder="1" applyAlignment="1">
      <alignment vertical="top"/>
    </xf>
    <xf numFmtId="0" fontId="26" fillId="7" borderId="4" xfId="1" applyNumberFormat="1" applyFont="1" applyFill="1" applyBorder="1" applyAlignment="1" applyProtection="1">
      <alignment vertical="top"/>
    </xf>
    <xf numFmtId="0" fontId="0" fillId="0" borderId="20" xfId="0" applyBorder="1" applyAlignment="1">
      <alignment vertical="top"/>
    </xf>
    <xf numFmtId="0" fontId="26" fillId="7" borderId="32" xfId="1" applyNumberFormat="1" applyFont="1" applyFill="1" applyBorder="1" applyAlignment="1" applyProtection="1">
      <alignment vertical="top"/>
    </xf>
    <xf numFmtId="169" fontId="26" fillId="7" borderId="49" xfId="1" applyNumberFormat="1" applyFont="1" applyFill="1" applyBorder="1" applyAlignment="1" applyProtection="1">
      <alignment vertical="top"/>
    </xf>
    <xf numFmtId="170" fontId="26" fillId="7" borderId="60" xfId="1" applyNumberFormat="1" applyFont="1" applyFill="1" applyBorder="1" applyAlignment="1" applyProtection="1">
      <alignment vertical="top"/>
    </xf>
    <xf numFmtId="170" fontId="26" fillId="7" borderId="64" xfId="1" applyNumberFormat="1" applyFont="1" applyFill="1" applyBorder="1" applyAlignment="1" applyProtection="1">
      <alignment vertical="top"/>
    </xf>
    <xf numFmtId="170" fontId="29" fillId="7" borderId="18" xfId="1" applyNumberFormat="1" applyFont="1" applyFill="1" applyBorder="1" applyAlignment="1" applyProtection="1">
      <alignment vertical="top"/>
    </xf>
    <xf numFmtId="169" fontId="26" fillId="12" borderId="87" xfId="1" applyNumberFormat="1" applyFont="1" applyFill="1" applyBorder="1" applyAlignment="1" applyProtection="1">
      <alignment vertical="top"/>
    </xf>
    <xf numFmtId="170" fontId="26" fillId="12" borderId="84" xfId="1" applyNumberFormat="1" applyFont="1" applyFill="1" applyBorder="1" applyAlignment="1" applyProtection="1">
      <alignment vertical="top"/>
    </xf>
    <xf numFmtId="170" fontId="26" fillId="12" borderId="93" xfId="1" applyNumberFormat="1" applyFont="1" applyFill="1" applyBorder="1" applyAlignment="1" applyProtection="1">
      <alignment vertical="top"/>
    </xf>
    <xf numFmtId="170" fontId="29" fillId="12" borderId="97" xfId="1" applyNumberFormat="1" applyFont="1" applyFill="1" applyBorder="1" applyAlignment="1" applyProtection="1">
      <alignment vertical="top"/>
    </xf>
    <xf numFmtId="165" fontId="24" fillId="9" borderId="83" xfId="1" applyNumberFormat="1" applyFont="1" applyFill="1" applyBorder="1" applyAlignment="1" applyProtection="1">
      <alignment vertical="top"/>
      <protection locked="0"/>
    </xf>
    <xf numFmtId="165" fontId="26" fillId="2" borderId="60" xfId="1" applyNumberFormat="1" applyFont="1" applyFill="1" applyBorder="1" applyAlignment="1" applyProtection="1">
      <alignment vertical="top"/>
      <protection locked="0"/>
    </xf>
    <xf numFmtId="165" fontId="26" fillId="2" borderId="83" xfId="1" applyNumberFormat="1" applyFont="1" applyFill="1" applyBorder="1" applyAlignment="1" applyProtection="1">
      <alignment vertical="top"/>
      <protection locked="0"/>
    </xf>
    <xf numFmtId="165" fontId="26" fillId="2" borderId="82" xfId="1" applyNumberFormat="1" applyFont="1" applyFill="1" applyBorder="1" applyAlignment="1" applyProtection="1">
      <alignment vertical="top"/>
      <protection locked="0"/>
    </xf>
    <xf numFmtId="169" fontId="29" fillId="7" borderId="35" xfId="1" applyNumberFormat="1" applyFont="1" applyFill="1" applyBorder="1" applyAlignment="1" applyProtection="1">
      <alignment vertical="top"/>
    </xf>
    <xf numFmtId="0" fontId="0" fillId="0" borderId="15" xfId="0" applyBorder="1" applyAlignment="1">
      <alignment vertical="top"/>
    </xf>
    <xf numFmtId="0" fontId="26" fillId="7" borderId="5" xfId="1" applyNumberFormat="1" applyFont="1" applyFill="1" applyBorder="1" applyAlignment="1" applyProtection="1">
      <alignment vertical="top"/>
    </xf>
    <xf numFmtId="0" fontId="26" fillId="7" borderId="34" xfId="1" applyNumberFormat="1" applyFont="1" applyFill="1" applyBorder="1" applyAlignment="1" applyProtection="1">
      <alignment vertical="top"/>
    </xf>
    <xf numFmtId="170" fontId="26" fillId="7" borderId="51" xfId="1" applyNumberFormat="1" applyFont="1" applyFill="1" applyBorder="1" applyAlignment="1" applyProtection="1">
      <alignment vertical="top"/>
    </xf>
    <xf numFmtId="170" fontId="26" fillId="7" borderId="61" xfId="1" applyNumberFormat="1" applyFont="1" applyFill="1" applyBorder="1" applyAlignment="1" applyProtection="1">
      <alignment vertical="top"/>
    </xf>
    <xf numFmtId="170" fontId="26" fillId="7" borderId="65" xfId="1" applyNumberFormat="1" applyFont="1" applyFill="1" applyBorder="1" applyAlignment="1" applyProtection="1">
      <alignment vertical="top"/>
    </xf>
    <xf numFmtId="170" fontId="29" fillId="7" borderId="33" xfId="1" applyNumberFormat="1" applyFont="1" applyFill="1" applyBorder="1" applyAlignment="1" applyProtection="1">
      <alignment vertical="top"/>
    </xf>
    <xf numFmtId="169" fontId="26" fillId="12" borderId="70" xfId="1" applyNumberFormat="1" applyFont="1" applyFill="1" applyBorder="1" applyAlignment="1" applyProtection="1">
      <alignment vertical="top"/>
    </xf>
    <xf numFmtId="170" fontId="26" fillId="12" borderId="68" xfId="1" applyNumberFormat="1" applyFont="1" applyFill="1" applyBorder="1" applyAlignment="1" applyProtection="1">
      <alignment vertical="top"/>
    </xf>
    <xf numFmtId="170" fontId="26" fillId="12" borderId="86" xfId="1" applyNumberFormat="1" applyFont="1" applyFill="1" applyBorder="1" applyAlignment="1" applyProtection="1">
      <alignment vertical="top"/>
    </xf>
    <xf numFmtId="170" fontId="29" fillId="12" borderId="98" xfId="1" applyNumberFormat="1" applyFont="1" applyFill="1" applyBorder="1" applyAlignment="1" applyProtection="1">
      <alignment vertical="top"/>
    </xf>
    <xf numFmtId="165" fontId="24" fillId="9" borderId="52" xfId="1" applyNumberFormat="1" applyFont="1" applyFill="1" applyBorder="1" applyAlignment="1" applyProtection="1">
      <alignment vertical="top"/>
      <protection locked="0"/>
    </xf>
    <xf numFmtId="165" fontId="26" fillId="2" borderId="61" xfId="1" applyNumberFormat="1" applyFont="1" applyFill="1" applyBorder="1" applyAlignment="1" applyProtection="1">
      <alignment vertical="top"/>
      <protection locked="0"/>
    </xf>
    <xf numFmtId="165" fontId="26" fillId="2" borderId="52" xfId="1" applyNumberFormat="1" applyFont="1" applyFill="1" applyBorder="1" applyAlignment="1" applyProtection="1">
      <alignment vertical="top"/>
      <protection locked="0"/>
    </xf>
    <xf numFmtId="165" fontId="26" fillId="2" borderId="53" xfId="1" applyNumberFormat="1" applyFont="1" applyFill="1" applyBorder="1" applyAlignment="1" applyProtection="1">
      <alignment vertical="top"/>
      <protection locked="0"/>
    </xf>
    <xf numFmtId="169" fontId="29" fillId="7" borderId="36" xfId="1" applyNumberFormat="1" applyFont="1" applyFill="1" applyBorder="1" applyAlignment="1" applyProtection="1">
      <alignment vertical="top"/>
    </xf>
    <xf numFmtId="0" fontId="26" fillId="7" borderId="26" xfId="1" applyNumberFormat="1" applyFont="1" applyFill="1" applyBorder="1" applyAlignment="1" applyProtection="1">
      <alignment vertical="top"/>
    </xf>
    <xf numFmtId="169" fontId="26" fillId="7" borderId="51" xfId="1" applyNumberFormat="1" applyFont="1" applyFill="1" applyBorder="1" applyAlignment="1" applyProtection="1">
      <alignment vertical="top"/>
    </xf>
    <xf numFmtId="169" fontId="26" fillId="7" borderId="61" xfId="1" applyNumberFormat="1" applyFont="1" applyFill="1" applyBorder="1" applyAlignment="1" applyProtection="1">
      <alignment vertical="top"/>
    </xf>
    <xf numFmtId="169" fontId="26" fillId="7" borderId="65" xfId="1" applyNumberFormat="1" applyFont="1" applyFill="1" applyBorder="1" applyAlignment="1" applyProtection="1">
      <alignment vertical="top"/>
    </xf>
    <xf numFmtId="169" fontId="29" fillId="7" borderId="33" xfId="1" applyNumberFormat="1" applyFont="1" applyFill="1" applyBorder="1" applyAlignment="1" applyProtection="1">
      <alignment vertical="top"/>
    </xf>
    <xf numFmtId="0" fontId="26" fillId="7" borderId="12" xfId="1" applyNumberFormat="1" applyFont="1" applyFill="1" applyBorder="1" applyAlignment="1" applyProtection="1">
      <alignment vertical="top"/>
    </xf>
    <xf numFmtId="0" fontId="26" fillId="7" borderId="43" xfId="1" applyNumberFormat="1" applyFont="1" applyFill="1" applyBorder="1" applyAlignment="1" applyProtection="1">
      <alignment vertical="top"/>
    </xf>
    <xf numFmtId="169" fontId="26" fillId="7" borderId="58" xfId="1" applyNumberFormat="1" applyFont="1" applyFill="1" applyBorder="1" applyAlignment="1" applyProtection="1">
      <alignment vertical="top"/>
    </xf>
    <xf numFmtId="169" fontId="26" fillId="7" borderId="62" xfId="1" applyNumberFormat="1" applyFont="1" applyFill="1" applyBorder="1" applyAlignment="1" applyProtection="1">
      <alignment vertical="top"/>
    </xf>
    <xf numFmtId="169" fontId="26" fillId="7" borderId="66" xfId="1" applyNumberFormat="1" applyFont="1" applyFill="1" applyBorder="1" applyAlignment="1" applyProtection="1">
      <alignment vertical="top"/>
    </xf>
    <xf numFmtId="169" fontId="29" fillId="7" borderId="19" xfId="1" applyNumberFormat="1" applyFont="1" applyFill="1" applyBorder="1" applyAlignment="1" applyProtection="1">
      <alignment vertical="top"/>
    </xf>
    <xf numFmtId="169" fontId="26" fillId="12" borderId="96" xfId="1" applyNumberFormat="1" applyFont="1" applyFill="1" applyBorder="1" applyAlignment="1" applyProtection="1">
      <alignment vertical="top"/>
    </xf>
    <xf numFmtId="170" fontId="26" fillId="12" borderId="94" xfId="1" applyNumberFormat="1" applyFont="1" applyFill="1" applyBorder="1" applyAlignment="1" applyProtection="1">
      <alignment vertical="top"/>
    </xf>
    <xf numFmtId="170" fontId="26" fillId="12" borderId="95" xfId="1" applyNumberFormat="1" applyFont="1" applyFill="1" applyBorder="1" applyAlignment="1" applyProtection="1">
      <alignment vertical="top"/>
    </xf>
    <xf numFmtId="170" fontId="29" fillId="12" borderId="99" xfId="1" applyNumberFormat="1" applyFont="1" applyFill="1" applyBorder="1" applyAlignment="1" applyProtection="1">
      <alignment vertical="top"/>
    </xf>
    <xf numFmtId="165" fontId="24" fillId="9" borderId="80" xfId="1" applyNumberFormat="1" applyFont="1" applyFill="1" applyBorder="1" applyAlignment="1" applyProtection="1">
      <alignment vertical="top"/>
      <protection locked="0"/>
    </xf>
    <xf numFmtId="165" fontId="26" fillId="2" borderId="62" xfId="1" applyNumberFormat="1" applyFont="1" applyFill="1" applyBorder="1" applyAlignment="1" applyProtection="1">
      <alignment vertical="top"/>
      <protection locked="0"/>
    </xf>
    <xf numFmtId="165" fontId="26" fillId="2" borderId="80" xfId="1" applyNumberFormat="1" applyFont="1" applyFill="1" applyBorder="1" applyAlignment="1" applyProtection="1">
      <alignment vertical="top"/>
      <protection locked="0"/>
    </xf>
    <xf numFmtId="165" fontId="26" fillId="2" borderId="54" xfId="1" applyNumberFormat="1" applyFont="1" applyFill="1" applyBorder="1" applyAlignment="1" applyProtection="1">
      <alignment vertical="top"/>
      <protection locked="0"/>
    </xf>
    <xf numFmtId="169" fontId="29" fillId="7" borderId="28" xfId="1" applyNumberFormat="1" applyFont="1" applyFill="1" applyBorder="1" applyAlignment="1" applyProtection="1">
      <alignment vertical="top"/>
    </xf>
    <xf numFmtId="0" fontId="25" fillId="0" borderId="29" xfId="0" applyFont="1" applyBorder="1" applyAlignment="1">
      <alignment vertical="top"/>
    </xf>
    <xf numFmtId="0" fontId="0" fillId="0" borderId="55" xfId="0" applyBorder="1" applyAlignment="1">
      <alignment vertical="top"/>
    </xf>
    <xf numFmtId="0" fontId="0" fillId="0" borderId="30" xfId="0" applyBorder="1" applyAlignment="1">
      <alignment vertical="top"/>
    </xf>
    <xf numFmtId="165" fontId="25" fillId="5" borderId="29" xfId="0" applyNumberFormat="1" applyFont="1" applyFill="1" applyBorder="1" applyAlignment="1">
      <alignment vertical="top"/>
    </xf>
    <xf numFmtId="165" fontId="25" fillId="5" borderId="59" xfId="0" applyNumberFormat="1" applyFont="1" applyFill="1" applyBorder="1" applyAlignment="1">
      <alignment vertical="top"/>
    </xf>
    <xf numFmtId="165" fontId="25" fillId="5" borderId="63" xfId="0" applyNumberFormat="1" applyFont="1" applyFill="1" applyBorder="1" applyAlignment="1">
      <alignment vertical="top"/>
    </xf>
    <xf numFmtId="165" fontId="25" fillId="5" borderId="4" xfId="0" applyNumberFormat="1" applyFont="1" applyFill="1" applyBorder="1" applyAlignment="1">
      <alignment vertical="top"/>
    </xf>
    <xf numFmtId="165" fontId="25" fillId="12" borderId="90" xfId="0" applyNumberFormat="1" applyFont="1" applyFill="1" applyBorder="1" applyAlignment="1">
      <alignment vertical="top"/>
    </xf>
    <xf numFmtId="165" fontId="25" fillId="12" borderId="91" xfId="0" applyNumberFormat="1" applyFont="1" applyFill="1" applyBorder="1" applyAlignment="1">
      <alignment vertical="top"/>
    </xf>
    <xf numFmtId="165" fontId="25" fillId="12" borderId="92" xfId="0" applyNumberFormat="1" applyFont="1" applyFill="1" applyBorder="1" applyAlignment="1">
      <alignment vertical="top"/>
    </xf>
    <xf numFmtId="165" fontId="28" fillId="8" borderId="79" xfId="0" applyNumberFormat="1" applyFont="1" applyFill="1" applyBorder="1" applyAlignment="1">
      <alignment vertical="top"/>
    </xf>
    <xf numFmtId="165" fontId="25" fillId="5" borderId="79" xfId="0" applyNumberFormat="1" applyFont="1" applyFill="1" applyBorder="1" applyAlignment="1">
      <alignment vertical="top"/>
    </xf>
    <xf numFmtId="165" fontId="25" fillId="5" borderId="78" xfId="0" applyNumberFormat="1" applyFont="1" applyFill="1" applyBorder="1" applyAlignment="1">
      <alignment vertical="top"/>
    </xf>
    <xf numFmtId="165" fontId="30" fillId="13" borderId="30" xfId="0" applyNumberFormat="1" applyFont="1" applyFill="1" applyBorder="1" applyAlignment="1">
      <alignment vertical="top"/>
    </xf>
    <xf numFmtId="165" fontId="25" fillId="5" borderId="30" xfId="0" applyNumberFormat="1" applyFont="1" applyFill="1" applyBorder="1" applyAlignment="1">
      <alignment vertical="top"/>
    </xf>
    <xf numFmtId="0" fontId="23" fillId="0" borderId="74" xfId="0" applyFont="1" applyBorder="1" applyAlignment="1">
      <alignment vertical="top"/>
    </xf>
    <xf numFmtId="0" fontId="23" fillId="0" borderId="0" xfId="0" applyFont="1" applyAlignment="1">
      <alignment vertical="top"/>
    </xf>
    <xf numFmtId="0" fontId="26" fillId="7" borderId="4" xfId="1" applyNumberFormat="1" applyFont="1" applyFill="1" applyBorder="1" applyAlignment="1" applyProtection="1">
      <alignment vertical="center"/>
    </xf>
    <xf numFmtId="0" fontId="25" fillId="0" borderId="22" xfId="0" applyFont="1" applyBorder="1" applyAlignment="1">
      <alignment wrapText="1"/>
    </xf>
    <xf numFmtId="0" fontId="25" fillId="0" borderId="44" xfId="0" applyFont="1" applyBorder="1" applyAlignment="1">
      <alignment wrapText="1"/>
    </xf>
    <xf numFmtId="0" fontId="25" fillId="0" borderId="23" xfId="0" applyFont="1" applyBorder="1" applyAlignment="1">
      <alignment wrapText="1"/>
    </xf>
    <xf numFmtId="0" fontId="25" fillId="0" borderId="24" xfId="0" applyFont="1" applyBorder="1" applyAlignment="1">
      <alignment wrapText="1"/>
    </xf>
    <xf numFmtId="0" fontId="25" fillId="0" borderId="6" xfId="0" applyFont="1" applyBorder="1" applyAlignment="1">
      <alignment wrapText="1"/>
    </xf>
    <xf numFmtId="0" fontId="25" fillId="0" borderId="5" xfId="0" applyFont="1" applyBorder="1" applyAlignment="1">
      <alignment wrapText="1"/>
    </xf>
    <xf numFmtId="0" fontId="0" fillId="2" borderId="20" xfId="0" applyFill="1" applyBorder="1" applyProtection="1">
      <protection locked="0"/>
    </xf>
    <xf numFmtId="0" fontId="0" fillId="7" borderId="67" xfId="0" applyFill="1" applyBorder="1"/>
    <xf numFmtId="0" fontId="0" fillId="2" borderId="8" xfId="0" applyFill="1" applyBorder="1" applyProtection="1">
      <protection locked="0"/>
    </xf>
    <xf numFmtId="14" fontId="0" fillId="2" borderId="8" xfId="0" applyNumberFormat="1" applyFill="1" applyBorder="1" applyProtection="1">
      <protection locked="0"/>
    </xf>
    <xf numFmtId="165" fontId="0" fillId="2" borderId="8" xfId="0" applyNumberFormat="1" applyFill="1" applyBorder="1" applyProtection="1">
      <protection locked="0"/>
    </xf>
    <xf numFmtId="165" fontId="0" fillId="2" borderId="21" xfId="0" applyNumberFormat="1" applyFill="1" applyBorder="1" applyProtection="1">
      <protection locked="0"/>
    </xf>
    <xf numFmtId="0" fontId="0" fillId="7" borderId="6" xfId="0" applyFill="1" applyBorder="1"/>
    <xf numFmtId="0" fontId="0" fillId="2" borderId="5" xfId="0" applyFill="1" applyBorder="1" applyProtection="1">
      <protection locked="0"/>
    </xf>
    <xf numFmtId="14" fontId="0" fillId="2" borderId="5" xfId="0" applyNumberFormat="1" applyFill="1" applyBorder="1" applyProtection="1">
      <protection locked="0"/>
    </xf>
    <xf numFmtId="165" fontId="0" fillId="2" borderId="5" xfId="0" applyNumberFormat="1" applyFill="1" applyBorder="1" applyProtection="1">
      <protection locked="0"/>
    </xf>
    <xf numFmtId="165" fontId="0" fillId="2" borderId="16" xfId="0" applyNumberFormat="1" applyFill="1" applyBorder="1" applyProtection="1">
      <protection locked="0"/>
    </xf>
    <xf numFmtId="0" fontId="0" fillId="7" borderId="17" xfId="0" applyFill="1" applyBorder="1"/>
    <xf numFmtId="0" fontId="0" fillId="2" borderId="12" xfId="0" applyFill="1" applyBorder="1" applyProtection="1">
      <protection locked="0"/>
    </xf>
    <xf numFmtId="14" fontId="0" fillId="2" borderId="12" xfId="0" applyNumberFormat="1" applyFill="1" applyBorder="1" applyProtection="1">
      <protection locked="0"/>
    </xf>
    <xf numFmtId="165" fontId="0" fillId="2" borderId="12" xfId="0" applyNumberFormat="1" applyFill="1" applyBorder="1" applyProtection="1">
      <protection locked="0"/>
    </xf>
    <xf numFmtId="165" fontId="0" fillId="2" borderId="13" xfId="0" applyNumberFormat="1" applyFill="1" applyBorder="1" applyProtection="1">
      <protection locked="0"/>
    </xf>
    <xf numFmtId="0" fontId="25" fillId="0" borderId="22" xfId="0" applyFont="1" applyBorder="1"/>
    <xf numFmtId="0" fontId="25" fillId="0" borderId="44" xfId="0" applyFont="1" applyBorder="1"/>
    <xf numFmtId="0" fontId="25" fillId="0" borderId="23" xfId="0" applyFont="1" applyBorder="1"/>
    <xf numFmtId="0" fontId="25" fillId="0" borderId="31" xfId="0" applyFont="1" applyBorder="1"/>
    <xf numFmtId="165" fontId="32" fillId="0" borderId="0" xfId="0" applyNumberFormat="1" applyFont="1"/>
    <xf numFmtId="0" fontId="19" fillId="0" borderId="0" xfId="0" applyFont="1" applyAlignment="1">
      <alignment wrapText="1"/>
    </xf>
    <xf numFmtId="0" fontId="31" fillId="14" borderId="0" xfId="0" applyFont="1" applyFill="1" applyAlignment="1">
      <alignment wrapText="1"/>
    </xf>
    <xf numFmtId="0" fontId="33" fillId="0" borderId="0" xfId="0" applyFont="1" applyAlignment="1">
      <alignment vertical="top" wrapText="1"/>
    </xf>
    <xf numFmtId="0" fontId="33" fillId="0" borderId="0" xfId="0" applyFont="1" applyAlignment="1">
      <alignment horizontal="center" vertical="top"/>
    </xf>
    <xf numFmtId="0" fontId="33" fillId="0" borderId="0" xfId="0" applyFont="1" applyAlignment="1">
      <alignment vertical="top"/>
    </xf>
    <xf numFmtId="0" fontId="34" fillId="14" borderId="0" xfId="0" applyFont="1" applyFill="1" applyAlignment="1">
      <alignment vertical="top"/>
    </xf>
    <xf numFmtId="0" fontId="35" fillId="14" borderId="0" xfId="0" applyFont="1" applyFill="1" applyAlignment="1">
      <alignment horizontal="center" vertical="top"/>
    </xf>
    <xf numFmtId="9" fontId="35" fillId="0" borderId="0" xfId="0" applyNumberFormat="1" applyFont="1" applyAlignment="1">
      <alignment vertical="top"/>
    </xf>
    <xf numFmtId="0" fontId="35" fillId="0" borderId="0" xfId="0" applyFont="1" applyAlignment="1">
      <alignment vertical="top"/>
    </xf>
    <xf numFmtId="9" fontId="35" fillId="0" borderId="0" xfId="0" applyNumberFormat="1" applyFont="1" applyAlignment="1">
      <alignment horizontal="center" vertical="top"/>
    </xf>
    <xf numFmtId="9" fontId="35" fillId="14" borderId="0" xfId="0" applyNumberFormat="1" applyFont="1" applyFill="1" applyAlignment="1">
      <alignment horizontal="center" vertical="top"/>
    </xf>
    <xf numFmtId="9" fontId="35" fillId="14" borderId="0" xfId="0" applyNumberFormat="1" applyFont="1" applyFill="1" applyAlignment="1">
      <alignment vertical="top"/>
    </xf>
    <xf numFmtId="0" fontId="35" fillId="14" borderId="0" xfId="0" applyFont="1" applyFill="1" applyAlignment="1">
      <alignment vertical="top"/>
    </xf>
    <xf numFmtId="0" fontId="35" fillId="0" borderId="0" xfId="0" applyFont="1" applyAlignment="1">
      <alignment horizontal="center" vertical="top"/>
    </xf>
    <xf numFmtId="0" fontId="34" fillId="0" borderId="0" xfId="0" applyFont="1" applyAlignment="1">
      <alignment vertical="top"/>
    </xf>
    <xf numFmtId="0" fontId="37" fillId="0" borderId="0" xfId="0" applyFont="1" applyAlignment="1">
      <alignment vertical="top"/>
    </xf>
    <xf numFmtId="0" fontId="37" fillId="0" borderId="0" xfId="0" applyFont="1" applyAlignment="1">
      <alignment vertical="top" wrapText="1"/>
    </xf>
    <xf numFmtId="0" fontId="37" fillId="0" borderId="0" xfId="0" applyFont="1" applyAlignment="1">
      <alignment horizontal="center" vertical="top"/>
    </xf>
    <xf numFmtId="0" fontId="12" fillId="2" borderId="0" xfId="0" applyFont="1" applyFill="1"/>
    <xf numFmtId="0" fontId="12" fillId="3" borderId="0" xfId="0" applyFont="1" applyFill="1"/>
    <xf numFmtId="0" fontId="12" fillId="4" borderId="0" xfId="0" applyFont="1" applyFill="1"/>
    <xf numFmtId="0" fontId="12" fillId="10" borderId="0" xfId="0" applyFont="1" applyFill="1"/>
    <xf numFmtId="0" fontId="12" fillId="0" borderId="0" xfId="0" applyFont="1"/>
    <xf numFmtId="0" fontId="0" fillId="0" borderId="70" xfId="0" applyBorder="1"/>
    <xf numFmtId="0" fontId="0" fillId="0" borderId="69" xfId="0" applyBorder="1"/>
    <xf numFmtId="0" fontId="0" fillId="0" borderId="76" xfId="0" applyBorder="1"/>
    <xf numFmtId="0" fontId="25" fillId="0" borderId="68" xfId="0" applyFont="1" applyBorder="1"/>
    <xf numFmtId="0" fontId="26" fillId="2" borderId="68" xfId="1" applyNumberFormat="1" applyFont="1" applyFill="1" applyBorder="1" applyAlignment="1" applyProtection="1">
      <alignment vertical="center"/>
      <protection locked="0"/>
    </xf>
    <xf numFmtId="0" fontId="24" fillId="0" borderId="75" xfId="1" applyNumberFormat="1" applyFont="1" applyFill="1" applyBorder="1" applyAlignment="1" applyProtection="1">
      <alignment vertical="center"/>
    </xf>
    <xf numFmtId="0" fontId="25" fillId="0" borderId="77" xfId="0" applyFont="1" applyBorder="1"/>
    <xf numFmtId="0" fontId="25" fillId="0" borderId="68" xfId="0" applyFont="1" applyBorder="1" applyAlignment="1">
      <alignment wrapText="1"/>
    </xf>
    <xf numFmtId="0" fontId="25" fillId="3" borderId="4" xfId="0" applyFont="1" applyFill="1" applyBorder="1" applyAlignment="1">
      <alignment horizontal="center" wrapText="1"/>
    </xf>
    <xf numFmtId="0" fontId="39" fillId="0" borderId="0" xfId="3" applyFont="1" applyBorder="1"/>
    <xf numFmtId="0" fontId="36" fillId="16" borderId="101" xfId="0" applyFont="1" applyFill="1" applyBorder="1" applyAlignment="1">
      <alignment vertical="top" wrapText="1"/>
    </xf>
    <xf numFmtId="9" fontId="35" fillId="0" borderId="102" xfId="0" applyNumberFormat="1" applyFont="1" applyBorder="1" applyAlignment="1">
      <alignment vertical="top" wrapText="1"/>
    </xf>
    <xf numFmtId="9" fontId="35" fillId="0" borderId="103" xfId="0" applyNumberFormat="1" applyFont="1" applyBorder="1" applyAlignment="1">
      <alignment vertical="top" wrapText="1"/>
    </xf>
    <xf numFmtId="0" fontId="35" fillId="0" borderId="104" xfId="0" applyFont="1" applyBorder="1" applyAlignment="1">
      <alignment vertical="top" wrapText="1"/>
    </xf>
    <xf numFmtId="0" fontId="35" fillId="0" borderId="105" xfId="0" applyFont="1" applyBorder="1" applyAlignment="1">
      <alignment vertical="top" wrapText="1"/>
    </xf>
    <xf numFmtId="9" fontId="35" fillId="14" borderId="106" xfId="0" applyNumberFormat="1" applyFont="1" applyFill="1" applyBorder="1" applyAlignment="1">
      <alignment horizontal="center" vertical="top"/>
    </xf>
    <xf numFmtId="0" fontId="35" fillId="14" borderId="106" xfId="0" applyFont="1" applyFill="1" applyBorder="1" applyAlignment="1">
      <alignment vertical="top"/>
    </xf>
    <xf numFmtId="0" fontId="33" fillId="0" borderId="75" xfId="0" applyFont="1" applyBorder="1" applyAlignment="1">
      <alignment horizontal="center" vertical="top"/>
    </xf>
    <xf numFmtId="0" fontId="33" fillId="0" borderId="89" xfId="0" applyFont="1" applyBorder="1" applyAlignment="1">
      <alignment horizontal="center" vertical="top"/>
    </xf>
    <xf numFmtId="9" fontId="35" fillId="0" borderId="75" xfId="0" applyNumberFormat="1" applyFont="1" applyBorder="1" applyAlignment="1">
      <alignment vertical="top"/>
    </xf>
    <xf numFmtId="9" fontId="35" fillId="0" borderId="89" xfId="0" applyNumberFormat="1" applyFont="1" applyBorder="1" applyAlignment="1">
      <alignment horizontal="center" vertical="top"/>
    </xf>
    <xf numFmtId="9" fontId="35" fillId="14" borderId="110" xfId="0" applyNumberFormat="1" applyFont="1" applyFill="1" applyBorder="1" applyAlignment="1">
      <alignment vertical="top"/>
    </xf>
    <xf numFmtId="9" fontId="35" fillId="14" borderId="111" xfId="0" applyNumberFormat="1" applyFont="1" applyFill="1" applyBorder="1" applyAlignment="1">
      <alignment horizontal="center" vertical="top"/>
    </xf>
    <xf numFmtId="9" fontId="35" fillId="14" borderId="112" xfId="0" applyNumberFormat="1" applyFont="1" applyFill="1" applyBorder="1" applyAlignment="1">
      <alignment horizontal="center" vertical="top"/>
    </xf>
    <xf numFmtId="0" fontId="36" fillId="16" borderId="114" xfId="0" applyFont="1" applyFill="1" applyBorder="1" applyAlignment="1">
      <alignment horizontal="center" vertical="top"/>
    </xf>
    <xf numFmtId="0" fontId="36" fillId="16" borderId="115" xfId="0" applyFont="1" applyFill="1" applyBorder="1" applyAlignment="1">
      <alignment horizontal="center" vertical="top" wrapText="1"/>
    </xf>
    <xf numFmtId="0" fontId="11" fillId="2" borderId="0" xfId="0" applyFont="1" applyFill="1"/>
    <xf numFmtId="0" fontId="18" fillId="0" borderId="0" xfId="0" applyFont="1"/>
    <xf numFmtId="9" fontId="34" fillId="14" borderId="106" xfId="0" applyNumberFormat="1" applyFont="1" applyFill="1" applyBorder="1" applyAlignment="1">
      <alignment vertical="top"/>
    </xf>
    <xf numFmtId="165" fontId="19" fillId="0" borderId="2" xfId="0" applyNumberFormat="1" applyFont="1" applyBorder="1"/>
    <xf numFmtId="49" fontId="26" fillId="2" borderId="68" xfId="1" applyNumberFormat="1" applyFont="1" applyFill="1" applyBorder="1" applyAlignment="1" applyProtection="1">
      <alignment vertical="center"/>
      <protection locked="0"/>
    </xf>
    <xf numFmtId="0" fontId="18" fillId="14" borderId="116" xfId="0" applyFont="1" applyFill="1" applyBorder="1" applyAlignment="1">
      <alignment wrapText="1"/>
    </xf>
    <xf numFmtId="0" fontId="19" fillId="0" borderId="116" xfId="0" applyFont="1" applyBorder="1"/>
    <xf numFmtId="0" fontId="18" fillId="14" borderId="117" xfId="0" applyFont="1" applyFill="1" applyBorder="1" applyAlignment="1">
      <alignment wrapText="1"/>
    </xf>
    <xf numFmtId="0" fontId="19" fillId="0" borderId="117" xfId="0" applyFont="1" applyBorder="1"/>
    <xf numFmtId="0" fontId="18" fillId="17" borderId="2" xfId="0" applyFont="1" applyFill="1" applyBorder="1" applyAlignment="1">
      <alignment wrapText="1"/>
    </xf>
    <xf numFmtId="0" fontId="26" fillId="2" borderId="68" xfId="5" applyNumberFormat="1" applyFont="1" applyFill="1" applyBorder="1" applyAlignment="1" applyProtection="1">
      <alignment vertical="center"/>
      <protection locked="0"/>
    </xf>
    <xf numFmtId="0" fontId="23" fillId="0" borderId="0" xfId="0" applyFont="1" applyAlignment="1">
      <alignment vertical="top" wrapText="1"/>
    </xf>
    <xf numFmtId="49" fontId="26" fillId="2" borderId="68" xfId="5" applyNumberFormat="1" applyFont="1" applyFill="1" applyBorder="1" applyAlignment="1" applyProtection="1">
      <alignment vertical="center"/>
      <protection locked="0"/>
    </xf>
    <xf numFmtId="0" fontId="0" fillId="0" borderId="77" xfId="0" applyBorder="1" applyAlignment="1">
      <alignment vertical="center"/>
    </xf>
    <xf numFmtId="165" fontId="21" fillId="0" borderId="2" xfId="0" applyNumberFormat="1" applyFont="1" applyBorder="1"/>
    <xf numFmtId="0" fontId="18" fillId="2" borderId="2" xfId="0" applyFont="1" applyFill="1" applyBorder="1" applyAlignment="1">
      <alignment wrapText="1"/>
    </xf>
    <xf numFmtId="0" fontId="18" fillId="3" borderId="0" xfId="0" applyFont="1" applyFill="1" applyAlignment="1">
      <alignment wrapText="1"/>
    </xf>
    <xf numFmtId="0" fontId="18" fillId="3" borderId="2" xfId="0" applyFont="1" applyFill="1" applyBorder="1" applyAlignment="1">
      <alignment wrapText="1"/>
    </xf>
    <xf numFmtId="0" fontId="9" fillId="4" borderId="0" xfId="0" applyFont="1" applyFill="1"/>
    <xf numFmtId="0" fontId="0" fillId="0" borderId="118" xfId="0" applyBorder="1" applyAlignment="1">
      <alignment vertical="top"/>
    </xf>
    <xf numFmtId="0" fontId="26" fillId="7" borderId="7" xfId="1" applyNumberFormat="1" applyFont="1" applyFill="1" applyBorder="1" applyAlignment="1" applyProtection="1">
      <alignment vertical="top"/>
    </xf>
    <xf numFmtId="0" fontId="26" fillId="7" borderId="119" xfId="1" applyNumberFormat="1" applyFont="1" applyFill="1" applyBorder="1" applyAlignment="1" applyProtection="1">
      <alignment vertical="top"/>
    </xf>
    <xf numFmtId="169" fontId="26" fillId="7" borderId="120" xfId="1" applyNumberFormat="1" applyFont="1" applyFill="1" applyBorder="1" applyAlignment="1" applyProtection="1">
      <alignment vertical="top"/>
    </xf>
    <xf numFmtId="169" fontId="26" fillId="7" borderId="121" xfId="1" applyNumberFormat="1" applyFont="1" applyFill="1" applyBorder="1" applyAlignment="1" applyProtection="1">
      <alignment vertical="top"/>
    </xf>
    <xf numFmtId="169" fontId="26" fillId="7" borderId="122" xfId="1" applyNumberFormat="1" applyFont="1" applyFill="1" applyBorder="1" applyAlignment="1" applyProtection="1">
      <alignment vertical="top"/>
    </xf>
    <xf numFmtId="169" fontId="29" fillId="7" borderId="39" xfId="1" applyNumberFormat="1" applyFont="1" applyFill="1" applyBorder="1" applyAlignment="1" applyProtection="1">
      <alignment vertical="top"/>
    </xf>
    <xf numFmtId="169" fontId="26" fillId="12" borderId="109" xfId="1" applyNumberFormat="1" applyFont="1" applyFill="1" applyBorder="1" applyAlignment="1" applyProtection="1">
      <alignment vertical="top"/>
    </xf>
    <xf numFmtId="170" fontId="26" fillId="12" borderId="100" xfId="1" applyNumberFormat="1" applyFont="1" applyFill="1" applyBorder="1" applyAlignment="1" applyProtection="1">
      <alignment vertical="top"/>
    </xf>
    <xf numFmtId="170" fontId="26" fillId="12" borderId="123" xfId="1" applyNumberFormat="1" applyFont="1" applyFill="1" applyBorder="1" applyAlignment="1" applyProtection="1">
      <alignment vertical="top"/>
    </xf>
    <xf numFmtId="170" fontId="29" fillId="12" borderId="124" xfId="1" applyNumberFormat="1" applyFont="1" applyFill="1" applyBorder="1" applyAlignment="1" applyProtection="1">
      <alignment vertical="top"/>
    </xf>
    <xf numFmtId="165" fontId="24" fillId="9" borderId="125" xfId="1" applyNumberFormat="1" applyFont="1" applyFill="1" applyBorder="1" applyAlignment="1" applyProtection="1">
      <alignment vertical="top"/>
      <protection locked="0"/>
    </xf>
    <xf numFmtId="165" fontId="26" fillId="2" borderId="121" xfId="1" applyNumberFormat="1" applyFont="1" applyFill="1" applyBorder="1" applyAlignment="1" applyProtection="1">
      <alignment vertical="top"/>
      <protection locked="0"/>
    </xf>
    <xf numFmtId="165" fontId="26" fillId="2" borderId="125" xfId="1" applyNumberFormat="1" applyFont="1" applyFill="1" applyBorder="1" applyAlignment="1" applyProtection="1">
      <alignment vertical="top"/>
      <protection locked="0"/>
    </xf>
    <xf numFmtId="165" fontId="26" fillId="2" borderId="126" xfId="1" applyNumberFormat="1" applyFont="1" applyFill="1" applyBorder="1" applyAlignment="1" applyProtection="1">
      <alignment vertical="top"/>
      <protection locked="0"/>
    </xf>
    <xf numFmtId="169" fontId="29" fillId="7" borderId="127" xfId="1" applyNumberFormat="1" applyFont="1" applyFill="1" applyBorder="1" applyAlignment="1" applyProtection="1">
      <alignment vertical="top"/>
    </xf>
    <xf numFmtId="168" fontId="41" fillId="0" borderId="87" xfId="0" applyNumberFormat="1" applyFont="1" applyBorder="1" applyAlignment="1">
      <alignment vertical="center"/>
    </xf>
    <xf numFmtId="168" fontId="41" fillId="0" borderId="128" xfId="0" applyNumberFormat="1" applyFont="1" applyBorder="1" applyAlignment="1">
      <alignment vertical="center"/>
    </xf>
    <xf numFmtId="0" fontId="8" fillId="0" borderId="0" xfId="8"/>
    <xf numFmtId="0" fontId="17" fillId="0" borderId="0" xfId="8" applyFont="1"/>
    <xf numFmtId="0" fontId="43" fillId="0" borderId="0" xfId="0" applyFont="1"/>
    <xf numFmtId="0" fontId="44" fillId="0" borderId="0" xfId="0" quotePrefix="1" applyFont="1" applyAlignment="1">
      <alignment vertical="center" wrapText="1"/>
    </xf>
    <xf numFmtId="0" fontId="0" fillId="0" borderId="132" xfId="0" applyBorder="1"/>
    <xf numFmtId="0" fontId="39" fillId="0" borderId="132" xfId="3" applyFont="1" applyBorder="1"/>
    <xf numFmtId="0" fontId="43" fillId="0" borderId="133" xfId="0" applyFont="1" applyBorder="1"/>
    <xf numFmtId="0" fontId="42" fillId="0" borderId="135" xfId="0" quotePrefix="1" applyFont="1" applyBorder="1"/>
    <xf numFmtId="0" fontId="23" fillId="0" borderId="132" xfId="0" applyFont="1" applyBorder="1" applyAlignment="1">
      <alignment wrapText="1"/>
    </xf>
    <xf numFmtId="0" fontId="0" fillId="0" borderId="134" xfId="0" applyBorder="1"/>
    <xf numFmtId="0" fontId="23" fillId="0" borderId="132" xfId="0" applyFont="1" applyBorder="1" applyAlignment="1">
      <alignment vertical="center" wrapText="1"/>
    </xf>
    <xf numFmtId="0" fontId="8" fillId="18" borderId="0" xfId="0" applyFont="1" applyFill="1"/>
    <xf numFmtId="0" fontId="0" fillId="0" borderId="133" xfId="0" applyBorder="1"/>
    <xf numFmtId="0" fontId="8" fillId="0" borderId="0" xfId="8" applyAlignment="1">
      <alignment wrapText="1"/>
    </xf>
    <xf numFmtId="10" fontId="29" fillId="7" borderId="35" xfId="2" applyNumberFormat="1" applyFont="1" applyFill="1" applyBorder="1" applyAlignment="1" applyProtection="1">
      <alignment vertical="top"/>
    </xf>
    <xf numFmtId="10" fontId="29" fillId="7" borderId="36" xfId="2" applyNumberFormat="1" applyFont="1" applyFill="1" applyBorder="1" applyAlignment="1" applyProtection="1">
      <alignment vertical="top"/>
    </xf>
    <xf numFmtId="10" fontId="29" fillId="7" borderId="127" xfId="2" applyNumberFormat="1" applyFont="1" applyFill="1" applyBorder="1" applyAlignment="1" applyProtection="1">
      <alignment vertical="top"/>
    </xf>
    <xf numFmtId="10" fontId="29" fillId="7" borderId="28" xfId="2" applyNumberFormat="1" applyFont="1" applyFill="1" applyBorder="1" applyAlignment="1" applyProtection="1">
      <alignment vertical="top"/>
    </xf>
    <xf numFmtId="0" fontId="19" fillId="0" borderId="0" xfId="8" applyFont="1"/>
    <xf numFmtId="0" fontId="47" fillId="6" borderId="0" xfId="8" applyFont="1" applyFill="1"/>
    <xf numFmtId="0" fontId="19" fillId="0" borderId="0" xfId="0" applyFont="1" applyAlignment="1">
      <alignment horizontal="center"/>
    </xf>
    <xf numFmtId="0" fontId="19" fillId="0" borderId="2" xfId="0" applyFont="1" applyBorder="1" applyAlignment="1">
      <alignment horizontal="center"/>
    </xf>
    <xf numFmtId="0" fontId="19" fillId="0" borderId="137" xfId="0" applyFont="1" applyBorder="1"/>
    <xf numFmtId="165" fontId="46" fillId="0" borderId="0" xfId="0" applyNumberFormat="1" applyFont="1"/>
    <xf numFmtId="0" fontId="17" fillId="0" borderId="0" xfId="0" applyFont="1" applyAlignment="1">
      <alignment vertical="center"/>
    </xf>
    <xf numFmtId="49" fontId="17" fillId="0" borderId="0" xfId="0" applyNumberFormat="1" applyFont="1" applyAlignment="1">
      <alignment vertical="center"/>
    </xf>
    <xf numFmtId="0" fontId="19" fillId="0" borderId="0" xfId="0" applyFont="1" applyAlignment="1">
      <alignment vertical="center"/>
    </xf>
    <xf numFmtId="0" fontId="0" fillId="0" borderId="88" xfId="0" applyBorder="1" applyAlignment="1">
      <alignment vertical="center"/>
    </xf>
    <xf numFmtId="0" fontId="42" fillId="0" borderId="71" xfId="0" applyFont="1" applyBorder="1" applyAlignment="1">
      <alignment horizontal="center" vertical="center"/>
    </xf>
    <xf numFmtId="168" fontId="0" fillId="0" borderId="29" xfId="0" applyNumberFormat="1" applyBorder="1" applyAlignment="1">
      <alignment vertical="center"/>
    </xf>
    <xf numFmtId="0" fontId="42" fillId="0" borderId="55" xfId="0" applyFont="1" applyBorder="1" applyAlignment="1">
      <alignment horizontal="center" vertical="center"/>
    </xf>
    <xf numFmtId="0" fontId="42" fillId="0" borderId="30" xfId="0" applyFont="1" applyBorder="1" applyAlignment="1">
      <alignment horizontal="center" vertical="center"/>
    </xf>
    <xf numFmtId="0" fontId="50" fillId="0" borderId="0" xfId="0" applyFont="1" applyAlignment="1">
      <alignment horizontal="center" vertical="center"/>
    </xf>
    <xf numFmtId="0" fontId="51" fillId="0" borderId="0" xfId="0" applyFont="1" applyAlignment="1">
      <alignment vertical="center"/>
    </xf>
    <xf numFmtId="0" fontId="19" fillId="13" borderId="2" xfId="0" applyFont="1" applyFill="1" applyBorder="1"/>
    <xf numFmtId="0" fontId="43" fillId="0" borderId="0" xfId="0" applyFont="1" applyAlignment="1">
      <alignment vertical="center"/>
    </xf>
    <xf numFmtId="49" fontId="43" fillId="0" borderId="0" xfId="0" applyNumberFormat="1" applyFont="1" applyAlignment="1">
      <alignment vertical="center"/>
    </xf>
    <xf numFmtId="0" fontId="48" fillId="0" borderId="0" xfId="0" applyFont="1" applyAlignment="1">
      <alignment horizontal="left" indent="3"/>
    </xf>
    <xf numFmtId="0" fontId="49" fillId="0" borderId="0" xfId="0" applyFont="1"/>
    <xf numFmtId="49" fontId="19" fillId="0" borderId="0" xfId="0" applyNumberFormat="1" applyFont="1"/>
    <xf numFmtId="0" fontId="25" fillId="3" borderId="71" xfId="0" applyFont="1" applyFill="1" applyBorder="1" applyAlignment="1">
      <alignment vertical="center"/>
    </xf>
    <xf numFmtId="168" fontId="25" fillId="3" borderId="71" xfId="0" applyNumberFormat="1" applyFont="1" applyFill="1" applyBorder="1" applyAlignment="1">
      <alignment vertical="center"/>
    </xf>
    <xf numFmtId="0" fontId="0" fillId="0" borderId="108" xfId="0" applyBorder="1" applyAlignment="1">
      <alignment vertical="center"/>
    </xf>
    <xf numFmtId="168" fontId="41" fillId="0" borderId="89" xfId="0" applyNumberFormat="1" applyFont="1" applyBorder="1" applyAlignment="1">
      <alignment vertical="center"/>
    </xf>
    <xf numFmtId="0" fontId="25" fillId="3" borderId="138" xfId="0" applyFont="1" applyFill="1" applyBorder="1" applyAlignment="1">
      <alignment vertical="center"/>
    </xf>
    <xf numFmtId="0" fontId="48" fillId="0" borderId="129" xfId="0" applyFont="1" applyBorder="1" applyAlignment="1">
      <alignment vertical="center"/>
    </xf>
    <xf numFmtId="0" fontId="48" fillId="0" borderId="130" xfId="0" applyFont="1" applyBorder="1" applyAlignment="1">
      <alignment vertical="center"/>
    </xf>
    <xf numFmtId="0" fontId="48" fillId="0" borderId="131" xfId="0" applyFont="1" applyBorder="1" applyAlignment="1">
      <alignment vertical="center"/>
    </xf>
    <xf numFmtId="0" fontId="48" fillId="0" borderId="139" xfId="0" applyFont="1" applyBorder="1" applyAlignment="1">
      <alignment vertical="center"/>
    </xf>
    <xf numFmtId="165" fontId="19" fillId="0" borderId="140" xfId="0" applyNumberFormat="1" applyFont="1" applyBorder="1"/>
    <xf numFmtId="0" fontId="18" fillId="14" borderId="140" xfId="0" applyFont="1" applyFill="1" applyBorder="1" applyAlignment="1">
      <alignment wrapText="1"/>
    </xf>
    <xf numFmtId="165" fontId="21" fillId="0" borderId="140" xfId="0" applyNumberFormat="1" applyFont="1" applyBorder="1"/>
    <xf numFmtId="0" fontId="31" fillId="14" borderId="140" xfId="0" applyFont="1" applyFill="1" applyBorder="1" applyAlignment="1">
      <alignment wrapText="1"/>
    </xf>
    <xf numFmtId="165" fontId="32" fillId="0" borderId="140" xfId="0" applyNumberFormat="1" applyFont="1" applyBorder="1"/>
    <xf numFmtId="0" fontId="5" fillId="20" borderId="141" xfId="8" applyFont="1" applyFill="1" applyBorder="1"/>
    <xf numFmtId="0" fontId="16" fillId="19" borderId="141" xfId="8" applyFont="1" applyFill="1" applyBorder="1"/>
    <xf numFmtId="0" fontId="17" fillId="20" borderId="141" xfId="8" applyFont="1" applyFill="1" applyBorder="1"/>
    <xf numFmtId="0" fontId="17" fillId="0" borderId="141" xfId="8" applyFont="1" applyBorder="1"/>
    <xf numFmtId="0" fontId="44" fillId="0" borderId="133" xfId="0" quotePrefix="1" applyFont="1" applyBorder="1" applyAlignment="1">
      <alignment vertical="center" wrapText="1"/>
    </xf>
    <xf numFmtId="0" fontId="5" fillId="0" borderId="141" xfId="8" applyFont="1" applyBorder="1"/>
    <xf numFmtId="0" fontId="52" fillId="0" borderId="0" xfId="0" applyFont="1" applyAlignment="1">
      <alignment horizontal="left" indent="3"/>
    </xf>
    <xf numFmtId="165" fontId="21" fillId="3" borderId="0" xfId="0" applyNumberFormat="1" applyFont="1" applyFill="1"/>
    <xf numFmtId="0" fontId="25" fillId="0" borderId="85" xfId="0" applyFont="1" applyBorder="1" applyAlignment="1">
      <alignment horizontal="center" vertical="center" wrapText="1"/>
    </xf>
    <xf numFmtId="0" fontId="25" fillId="0" borderId="73" xfId="0" applyFont="1" applyBorder="1" applyAlignment="1">
      <alignment horizontal="center" vertical="center" wrapText="1"/>
    </xf>
    <xf numFmtId="0" fontId="25" fillId="0" borderId="72" xfId="0" applyFont="1" applyBorder="1" applyAlignment="1">
      <alignment horizontal="center" vertical="center" wrapText="1"/>
    </xf>
    <xf numFmtId="0" fontId="25" fillId="0" borderId="57" xfId="0" applyFont="1" applyBorder="1" applyAlignment="1">
      <alignment horizontal="center" vertical="center" wrapText="1"/>
    </xf>
    <xf numFmtId="0" fontId="25" fillId="0" borderId="59" xfId="0" applyFont="1" applyBorder="1" applyAlignment="1">
      <alignment horizontal="center" vertical="center" wrapText="1"/>
    </xf>
    <xf numFmtId="0" fontId="25" fillId="0" borderId="6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30" xfId="0" applyFont="1" applyBorder="1" applyAlignment="1">
      <alignment horizontal="center" vertical="center" wrapText="1"/>
    </xf>
    <xf numFmtId="0" fontId="28" fillId="0" borderId="79" xfId="0" applyFont="1" applyBorder="1" applyAlignment="1">
      <alignment horizontal="center" vertical="center" wrapText="1"/>
    </xf>
    <xf numFmtId="0" fontId="25" fillId="0" borderId="79" xfId="0" applyFont="1" applyBorder="1" applyAlignment="1">
      <alignment horizontal="center" vertical="center" wrapText="1"/>
    </xf>
    <xf numFmtId="0" fontId="25" fillId="0" borderId="55" xfId="0" applyFont="1" applyBorder="1" applyAlignment="1">
      <alignment horizontal="center" vertical="center" wrapText="1"/>
    </xf>
    <xf numFmtId="0" fontId="25" fillId="0" borderId="78" xfId="0" applyFont="1" applyBorder="1" applyAlignment="1">
      <alignment horizontal="center" vertical="center" wrapText="1"/>
    </xf>
    <xf numFmtId="168" fontId="53" fillId="0" borderId="129" xfId="0" applyNumberFormat="1" applyFont="1" applyBorder="1" applyAlignment="1">
      <alignment vertical="center"/>
    </xf>
    <xf numFmtId="168" fontId="53" fillId="0" borderId="131" xfId="0" applyNumberFormat="1" applyFont="1" applyBorder="1" applyAlignment="1">
      <alignment vertical="center"/>
    </xf>
    <xf numFmtId="168" fontId="53" fillId="0" borderId="139" xfId="0" applyNumberFormat="1" applyFont="1" applyBorder="1" applyAlignment="1">
      <alignment vertical="center"/>
    </xf>
    <xf numFmtId="0" fontId="54" fillId="0" borderId="0" xfId="0" applyFont="1" applyAlignment="1">
      <alignment vertical="center"/>
    </xf>
    <xf numFmtId="0" fontId="55" fillId="0" borderId="0" xfId="0" applyFont="1" applyAlignment="1">
      <alignment vertical="center"/>
    </xf>
    <xf numFmtId="49" fontId="56" fillId="0" borderId="0" xfId="0" applyNumberFormat="1" applyFont="1" applyAlignment="1">
      <alignment vertical="center"/>
    </xf>
    <xf numFmtId="165" fontId="56" fillId="0" borderId="0" xfId="0" applyNumberFormat="1" applyFont="1" applyAlignment="1">
      <alignment vertical="center"/>
    </xf>
    <xf numFmtId="165" fontId="56" fillId="0" borderId="0" xfId="0" quotePrefix="1" applyNumberFormat="1" applyFont="1" applyAlignment="1">
      <alignment vertical="center"/>
    </xf>
    <xf numFmtId="171" fontId="56" fillId="0" borderId="0" xfId="2" applyNumberFormat="1" applyFont="1" applyAlignment="1">
      <alignment vertical="center"/>
    </xf>
    <xf numFmtId="165" fontId="26" fillId="2" borderId="49" xfId="1" applyNumberFormat="1" applyFont="1" applyFill="1" applyBorder="1" applyAlignment="1" applyProtection="1">
      <alignment vertical="top"/>
      <protection locked="0"/>
    </xf>
    <xf numFmtId="165" fontId="26" fillId="2" borderId="51" xfId="1" applyNumberFormat="1" applyFont="1" applyFill="1" applyBorder="1" applyAlignment="1" applyProtection="1">
      <alignment vertical="top"/>
      <protection locked="0"/>
    </xf>
    <xf numFmtId="165" fontId="26" fillId="2" borderId="120" xfId="1" applyNumberFormat="1" applyFont="1" applyFill="1" applyBorder="1" applyAlignment="1" applyProtection="1">
      <alignment vertical="top"/>
      <protection locked="0"/>
    </xf>
    <xf numFmtId="165" fontId="26" fillId="2" borderId="58" xfId="1" applyNumberFormat="1" applyFont="1" applyFill="1" applyBorder="1" applyAlignment="1" applyProtection="1">
      <alignment vertical="top"/>
      <protection locked="0"/>
    </xf>
    <xf numFmtId="165" fontId="25" fillId="5" borderId="57" xfId="0" applyNumberFormat="1" applyFont="1" applyFill="1" applyBorder="1" applyAlignment="1">
      <alignment vertical="top"/>
    </xf>
    <xf numFmtId="10" fontId="26" fillId="7" borderId="51" xfId="2" applyNumberFormat="1" applyFont="1" applyFill="1" applyBorder="1" applyAlignment="1" applyProtection="1">
      <alignment vertical="top"/>
    </xf>
    <xf numFmtId="10" fontId="26" fillId="7" borderId="60" xfId="2" applyNumberFormat="1" applyFont="1" applyFill="1" applyBorder="1" applyAlignment="1" applyProtection="1">
      <alignment vertical="top"/>
    </xf>
    <xf numFmtId="10" fontId="26" fillId="7" borderId="82" xfId="2" applyNumberFormat="1" applyFont="1" applyFill="1" applyBorder="1" applyAlignment="1" applyProtection="1">
      <alignment vertical="top"/>
    </xf>
    <xf numFmtId="10" fontId="26" fillId="7" borderId="61" xfId="2" applyNumberFormat="1" applyFont="1" applyFill="1" applyBorder="1" applyAlignment="1" applyProtection="1">
      <alignment vertical="top"/>
    </xf>
    <xf numFmtId="10" fontId="26" fillId="7" borderId="53" xfId="2" applyNumberFormat="1" applyFont="1" applyFill="1" applyBorder="1" applyAlignment="1" applyProtection="1">
      <alignment vertical="top"/>
    </xf>
    <xf numFmtId="10" fontId="26" fillId="7" borderId="121" xfId="2" applyNumberFormat="1" applyFont="1" applyFill="1" applyBorder="1" applyAlignment="1" applyProtection="1">
      <alignment vertical="top"/>
    </xf>
    <xf numFmtId="10" fontId="26" fillId="7" borderId="126" xfId="2" applyNumberFormat="1" applyFont="1" applyFill="1" applyBorder="1" applyAlignment="1" applyProtection="1">
      <alignment vertical="top"/>
    </xf>
    <xf numFmtId="10" fontId="26" fillId="7" borderId="62" xfId="2" applyNumberFormat="1" applyFont="1" applyFill="1" applyBorder="1" applyAlignment="1" applyProtection="1">
      <alignment vertical="top"/>
    </xf>
    <xf numFmtId="10" fontId="26" fillId="7" borderId="54" xfId="2" applyNumberFormat="1" applyFont="1" applyFill="1" applyBorder="1" applyAlignment="1" applyProtection="1">
      <alignment vertical="top"/>
    </xf>
    <xf numFmtId="0" fontId="48" fillId="0" borderId="6" xfId="0" applyFont="1" applyBorder="1"/>
    <xf numFmtId="0" fontId="48" fillId="0" borderId="5" xfId="0" applyFont="1" applyBorder="1" applyAlignment="1">
      <alignment horizontal="left" indent="1"/>
    </xf>
    <xf numFmtId="168" fontId="49" fillId="0" borderId="0" xfId="0" applyNumberFormat="1" applyFont="1"/>
    <xf numFmtId="168" fontId="48" fillId="0" borderId="6" xfId="0" applyNumberFormat="1" applyFont="1" applyBorder="1"/>
    <xf numFmtId="0" fontId="49" fillId="0" borderId="6" xfId="0" applyFont="1" applyBorder="1"/>
    <xf numFmtId="0" fontId="57" fillId="0" borderId="6" xfId="0" applyFont="1" applyBorder="1"/>
    <xf numFmtId="0" fontId="18" fillId="21" borderId="0" xfId="0" applyFont="1" applyFill="1" applyAlignment="1">
      <alignment wrapText="1"/>
    </xf>
    <xf numFmtId="0" fontId="18" fillId="22" borderId="0" xfId="0" applyFont="1" applyFill="1" applyAlignment="1">
      <alignment wrapText="1"/>
    </xf>
    <xf numFmtId="0" fontId="18" fillId="4" borderId="0" xfId="0" applyFont="1" applyFill="1" applyAlignment="1">
      <alignment wrapText="1"/>
    </xf>
    <xf numFmtId="0" fontId="18" fillId="10" borderId="0" xfId="0" applyFont="1" applyFill="1" applyAlignment="1">
      <alignment wrapText="1"/>
    </xf>
    <xf numFmtId="0" fontId="18" fillId="18" borderId="0" xfId="0" applyFont="1" applyFill="1" applyAlignment="1">
      <alignment wrapText="1"/>
    </xf>
    <xf numFmtId="0" fontId="18" fillId="23" borderId="0" xfId="0" applyFont="1" applyFill="1" applyAlignment="1">
      <alignment wrapText="1"/>
    </xf>
    <xf numFmtId="9" fontId="18" fillId="0" borderId="0" xfId="2" applyFont="1" applyAlignment="1">
      <alignment wrapText="1"/>
    </xf>
    <xf numFmtId="9" fontId="21" fillId="0" borderId="0" xfId="2" applyFont="1"/>
    <xf numFmtId="9" fontId="19" fillId="0" borderId="0" xfId="2" applyFont="1"/>
    <xf numFmtId="0" fontId="36" fillId="16" borderId="113" xfId="0" applyFont="1" applyFill="1" applyBorder="1" applyAlignment="1">
      <alignment vertical="top" wrapText="1"/>
    </xf>
    <xf numFmtId="9" fontId="21" fillId="0" borderId="0" xfId="0" applyNumberFormat="1" applyFont="1"/>
    <xf numFmtId="0" fontId="36" fillId="16" borderId="144" xfId="0" applyFont="1" applyFill="1" applyBorder="1" applyAlignment="1">
      <alignment horizontal="center" vertical="top"/>
    </xf>
    <xf numFmtId="0" fontId="35" fillId="14" borderId="145" xfId="0" applyFont="1" applyFill="1" applyBorder="1" applyAlignment="1">
      <alignment horizontal="center" vertical="top"/>
    </xf>
    <xf numFmtId="0" fontId="35" fillId="14" borderId="106" xfId="0" applyFont="1" applyFill="1" applyBorder="1" applyAlignment="1">
      <alignment horizontal="center" vertical="top"/>
    </xf>
    <xf numFmtId="165" fontId="21" fillId="0" borderId="0" xfId="2" applyNumberFormat="1" applyFont="1"/>
    <xf numFmtId="0" fontId="18" fillId="24" borderId="0" xfId="0" applyFont="1" applyFill="1" applyAlignment="1">
      <alignment wrapText="1"/>
    </xf>
    <xf numFmtId="0" fontId="18" fillId="25" borderId="0" xfId="0" applyFont="1" applyFill="1" applyAlignment="1">
      <alignment wrapText="1"/>
    </xf>
    <xf numFmtId="0" fontId="18" fillId="26" borderId="0" xfId="0" applyFont="1" applyFill="1" applyAlignment="1">
      <alignment wrapText="1"/>
    </xf>
    <xf numFmtId="165" fontId="21" fillId="21" borderId="0" xfId="0" applyNumberFormat="1" applyFont="1" applyFill="1"/>
    <xf numFmtId="165" fontId="21" fillId="24" borderId="0" xfId="0" applyNumberFormat="1" applyFont="1" applyFill="1"/>
    <xf numFmtId="0" fontId="18" fillId="27" borderId="0" xfId="0" applyFont="1" applyFill="1" applyAlignment="1">
      <alignment wrapText="1"/>
    </xf>
    <xf numFmtId="165" fontId="21" fillId="22" borderId="0" xfId="0" applyNumberFormat="1" applyFont="1" applyFill="1"/>
    <xf numFmtId="165" fontId="21" fillId="25" borderId="0" xfId="0" applyNumberFormat="1" applyFont="1" applyFill="1"/>
    <xf numFmtId="165" fontId="21" fillId="10" borderId="0" xfId="0" applyNumberFormat="1" applyFont="1" applyFill="1"/>
    <xf numFmtId="165" fontId="21" fillId="18" borderId="0" xfId="0" applyNumberFormat="1" applyFont="1" applyFill="1"/>
    <xf numFmtId="165" fontId="21" fillId="26" borderId="0" xfId="0" applyNumberFormat="1" applyFont="1" applyFill="1"/>
    <xf numFmtId="165" fontId="21" fillId="4" borderId="0" xfId="0" applyNumberFormat="1" applyFont="1" applyFill="1"/>
    <xf numFmtId="165" fontId="21" fillId="23" borderId="0" xfId="0" applyNumberFormat="1" applyFont="1" applyFill="1"/>
    <xf numFmtId="165" fontId="21" fillId="27" borderId="0" xfId="0" applyNumberFormat="1" applyFont="1" applyFill="1"/>
    <xf numFmtId="0" fontId="18" fillId="28" borderId="0" xfId="0" applyFont="1" applyFill="1" applyAlignment="1">
      <alignment wrapText="1"/>
    </xf>
    <xf numFmtId="165" fontId="19" fillId="3" borderId="0" xfId="0" applyNumberFormat="1" applyFont="1" applyFill="1"/>
    <xf numFmtId="165" fontId="19" fillId="3" borderId="2" xfId="0" applyNumberFormat="1" applyFont="1" applyFill="1" applyBorder="1"/>
    <xf numFmtId="165" fontId="0" fillId="0" borderId="0" xfId="0" applyNumberFormat="1"/>
    <xf numFmtId="0" fontId="3" fillId="2" borderId="0" xfId="0" applyFont="1" applyFill="1"/>
    <xf numFmtId="9" fontId="35" fillId="2" borderId="0" xfId="0" applyNumberFormat="1" applyFont="1" applyFill="1" applyAlignment="1">
      <alignment horizontal="center" vertical="top"/>
    </xf>
    <xf numFmtId="0" fontId="2" fillId="2" borderId="0" xfId="0" applyFont="1" applyFill="1"/>
    <xf numFmtId="0" fontId="48" fillId="0" borderId="25" xfId="0" applyFont="1" applyBorder="1"/>
    <xf numFmtId="0" fontId="48" fillId="0" borderId="26" xfId="0" applyFont="1" applyBorder="1"/>
    <xf numFmtId="0" fontId="44" fillId="0" borderId="136" xfId="0" quotePrefix="1" applyFont="1" applyBorder="1" applyAlignment="1">
      <alignment vertical="center" wrapText="1"/>
    </xf>
    <xf numFmtId="0" fontId="44" fillId="0" borderId="0" xfId="0" quotePrefix="1" applyFont="1" applyAlignment="1">
      <alignment vertical="center" wrapText="1"/>
    </xf>
    <xf numFmtId="0" fontId="22" fillId="0" borderId="0" xfId="0" applyFont="1"/>
    <xf numFmtId="0" fontId="26" fillId="2" borderId="68" xfId="1" applyNumberFormat="1" applyFont="1" applyFill="1" applyBorder="1" applyAlignment="1" applyProtection="1">
      <alignment vertical="center"/>
      <protection locked="0"/>
    </xf>
    <xf numFmtId="0" fontId="26" fillId="2" borderId="69" xfId="1" applyNumberFormat="1" applyFont="1" applyFill="1" applyBorder="1" applyAlignment="1" applyProtection="1">
      <alignment vertical="center"/>
      <protection locked="0"/>
    </xf>
    <xf numFmtId="0" fontId="26" fillId="2" borderId="70" xfId="1" applyNumberFormat="1" applyFont="1" applyFill="1" applyBorder="1" applyAlignment="1" applyProtection="1">
      <alignment vertical="center"/>
      <protection locked="0"/>
    </xf>
    <xf numFmtId="0" fontId="44" fillId="0" borderId="133" xfId="0" quotePrefix="1" applyFont="1" applyBorder="1" applyAlignment="1">
      <alignment vertical="center" wrapText="1"/>
    </xf>
    <xf numFmtId="0" fontId="50" fillId="0" borderId="55" xfId="0" applyFont="1" applyBorder="1" applyAlignment="1">
      <alignment horizontal="center" vertical="center"/>
    </xf>
    <xf numFmtId="0" fontId="25" fillId="0" borderId="29" xfId="0" applyFont="1" applyBorder="1" applyAlignment="1">
      <alignment horizontal="center" vertical="center"/>
    </xf>
    <xf numFmtId="0" fontId="25" fillId="0" borderId="55" xfId="0" applyFont="1" applyBorder="1" applyAlignment="1">
      <alignment horizontal="center" vertical="center"/>
    </xf>
    <xf numFmtId="0" fontId="25" fillId="0" borderId="30" xfId="0" applyFont="1" applyBorder="1" applyAlignment="1">
      <alignment horizontal="center" vertical="center"/>
    </xf>
    <xf numFmtId="0" fontId="23" fillId="0" borderId="29" xfId="0" applyFont="1" applyBorder="1" applyAlignment="1">
      <alignment horizontal="center" vertical="center" wrapText="1"/>
    </xf>
    <xf numFmtId="0" fontId="23" fillId="0" borderId="55" xfId="0" applyFont="1" applyBorder="1" applyAlignment="1">
      <alignment horizontal="center" vertical="center" wrapText="1"/>
    </xf>
    <xf numFmtId="0" fontId="23" fillId="0" borderId="30" xfId="0" applyFont="1" applyBorder="1" applyAlignment="1">
      <alignment horizontal="center" vertical="center" wrapText="1"/>
    </xf>
    <xf numFmtId="0" fontId="25" fillId="0" borderId="81" xfId="0" applyFont="1" applyBorder="1" applyAlignment="1">
      <alignment horizontal="center" vertical="center" wrapText="1"/>
    </xf>
    <xf numFmtId="0" fontId="25" fillId="0" borderId="56" xfId="0" applyFont="1" applyBorder="1" applyAlignment="1">
      <alignment horizontal="center" vertical="center" wrapText="1"/>
    </xf>
    <xf numFmtId="0" fontId="25" fillId="0" borderId="142" xfId="0" applyFont="1" applyBorder="1" applyAlignment="1">
      <alignment horizontal="center" vertical="center"/>
    </xf>
    <xf numFmtId="0" fontId="25" fillId="0" borderId="74" xfId="0" applyFont="1" applyBorder="1" applyAlignment="1">
      <alignment horizontal="center" vertical="center"/>
    </xf>
    <xf numFmtId="0" fontId="25" fillId="0" borderId="143" xfId="0" applyFont="1" applyBorder="1" applyAlignment="1">
      <alignment horizontal="center" vertical="center"/>
    </xf>
    <xf numFmtId="0" fontId="25" fillId="0" borderId="3" xfId="0" applyFont="1" applyBorder="1" applyAlignment="1">
      <alignment horizontal="center" vertical="center"/>
    </xf>
    <xf numFmtId="0" fontId="25" fillId="0" borderId="71" xfId="0" applyFont="1" applyBorder="1" applyAlignment="1">
      <alignment horizontal="center" vertical="center"/>
    </xf>
    <xf numFmtId="0" fontId="25" fillId="0" borderId="92" xfId="0" applyFont="1" applyBorder="1" applyAlignment="1">
      <alignment horizontal="center" vertical="center"/>
    </xf>
    <xf numFmtId="0" fontId="23" fillId="0" borderId="74" xfId="0" applyFont="1" applyBorder="1" applyAlignment="1">
      <alignment horizontal="left" vertical="top" wrapText="1"/>
    </xf>
    <xf numFmtId="0" fontId="0" fillId="0" borderId="38" xfId="0" applyBorder="1"/>
    <xf numFmtId="0" fontId="0" fillId="0" borderId="26" xfId="0" applyBorder="1"/>
    <xf numFmtId="0" fontId="25" fillId="0" borderId="27" xfId="0" applyFont="1" applyBorder="1"/>
    <xf numFmtId="0" fontId="25" fillId="0" borderId="43" xfId="0" applyFont="1" applyBorder="1"/>
    <xf numFmtId="0" fontId="25" fillId="0" borderId="29" xfId="0" applyFont="1" applyBorder="1"/>
    <xf numFmtId="0" fontId="25" fillId="0" borderId="55" xfId="0" applyFont="1" applyBorder="1"/>
    <xf numFmtId="0" fontId="25" fillId="0" borderId="37" xfId="0" applyFont="1" applyBorder="1"/>
    <xf numFmtId="0" fontId="25" fillId="0" borderId="42" xfId="0" applyFont="1" applyBorder="1"/>
    <xf numFmtId="0" fontId="25" fillId="0" borderId="35" xfId="0" applyFont="1" applyBorder="1"/>
    <xf numFmtId="0" fontId="0" fillId="2" borderId="38" xfId="0" applyFill="1" applyBorder="1" applyProtection="1">
      <protection locked="0"/>
    </xf>
    <xf numFmtId="0" fontId="0" fillId="2" borderId="26" xfId="0" applyFill="1" applyBorder="1" applyProtection="1">
      <protection locked="0"/>
    </xf>
    <xf numFmtId="0" fontId="0" fillId="2" borderId="36" xfId="0" applyFill="1" applyBorder="1" applyProtection="1">
      <protection locked="0"/>
    </xf>
    <xf numFmtId="0" fontId="0" fillId="2" borderId="29" xfId="0" applyFill="1" applyBorder="1" applyProtection="1">
      <protection locked="0"/>
    </xf>
    <xf numFmtId="0" fontId="0" fillId="2" borderId="30" xfId="0" applyFill="1" applyBorder="1" applyProtection="1">
      <protection locked="0"/>
    </xf>
    <xf numFmtId="0" fontId="25" fillId="0" borderId="30" xfId="0" applyFont="1" applyBorder="1"/>
    <xf numFmtId="0" fontId="25" fillId="0" borderId="29" xfId="0" applyFont="1" applyBorder="1" applyAlignment="1">
      <alignment wrapText="1"/>
    </xf>
    <xf numFmtId="0" fontId="25" fillId="0" borderId="55" xfId="0" applyFont="1" applyBorder="1" applyAlignment="1">
      <alignment wrapText="1"/>
    </xf>
    <xf numFmtId="0" fontId="25" fillId="0" borderId="30" xfId="0" applyFont="1" applyBorder="1" applyAlignment="1">
      <alignment wrapText="1"/>
    </xf>
    <xf numFmtId="0" fontId="0" fillId="2" borderId="52" xfId="0" applyFill="1" applyBorder="1" applyProtection="1">
      <protection locked="0"/>
    </xf>
    <xf numFmtId="0" fontId="25" fillId="0" borderId="29" xfId="0" applyFont="1" applyBorder="1" applyAlignment="1">
      <alignment horizontal="center" vertical="top" wrapText="1"/>
    </xf>
    <xf numFmtId="0" fontId="25" fillId="0" borderId="30" xfId="0" applyFont="1" applyBorder="1" applyAlignment="1">
      <alignment horizontal="center" vertical="top" wrapText="1"/>
    </xf>
    <xf numFmtId="0" fontId="0" fillId="2" borderId="27" xfId="0" applyFill="1" applyBorder="1" applyProtection="1">
      <protection locked="0"/>
    </xf>
    <xf numFmtId="0" fontId="0" fillId="2" borderId="43" xfId="0" applyFill="1" applyBorder="1" applyProtection="1">
      <protection locked="0"/>
    </xf>
    <xf numFmtId="0" fontId="0" fillId="2" borderId="28" xfId="0" applyFill="1" applyBorder="1" applyProtection="1">
      <protection locked="0"/>
    </xf>
    <xf numFmtId="0" fontId="25" fillId="0" borderId="50" xfId="0" applyFont="1" applyBorder="1"/>
    <xf numFmtId="0" fontId="36" fillId="6" borderId="0" xfId="0" applyFont="1" applyFill="1" applyAlignment="1">
      <alignment horizontal="center" vertical="center"/>
    </xf>
    <xf numFmtId="0" fontId="36" fillId="11" borderId="0" xfId="0" applyFont="1" applyFill="1" applyAlignment="1">
      <alignment horizontal="center" vertical="center"/>
    </xf>
    <xf numFmtId="0" fontId="36" fillId="15" borderId="107" xfId="0" applyFont="1" applyFill="1" applyBorder="1" applyAlignment="1">
      <alignment horizontal="center" vertical="center"/>
    </xf>
    <xf numFmtId="0" fontId="36" fillId="15" borderId="108" xfId="0" applyFont="1" applyFill="1" applyBorder="1" applyAlignment="1">
      <alignment horizontal="center" vertical="center"/>
    </xf>
    <xf numFmtId="0" fontId="36" fillId="15" borderId="109" xfId="0" applyFont="1" applyFill="1" applyBorder="1" applyAlignment="1">
      <alignment horizontal="center" vertical="center"/>
    </xf>
    <xf numFmtId="0" fontId="1" fillId="0" borderId="0" xfId="8" applyFont="1"/>
  </cellXfs>
  <cellStyles count="12">
    <cellStyle name="Comma" xfId="1" builtinId="3"/>
    <cellStyle name="Comma 2" xfId="5" xr:uid="{70ECB50D-4642-46CD-B304-309BD637DFD7}"/>
    <cellStyle name="Hyperlink" xfId="3" builtinId="8"/>
    <cellStyle name="Normal" xfId="0" builtinId="0" customBuiltin="1"/>
    <cellStyle name="Normal 2" xfId="4" xr:uid="{7BD4ED9A-E9CC-4B7A-9368-386211DA28B1}"/>
    <cellStyle name="Normal 2 2" xfId="7" xr:uid="{57D76502-B28F-4BB0-AD27-5AD547FCE3FF}"/>
    <cellStyle name="Normal 3" xfId="8" xr:uid="{86F46AAD-FE22-47FA-96BA-97B385F7C76C}"/>
    <cellStyle name="Normal 4" xfId="9" xr:uid="{D88380D2-97DB-4ADC-95B7-6C62E5C6FF61}"/>
    <cellStyle name="Normal 5" xfId="10" xr:uid="{C842FB0E-0D75-4CF7-9D58-340EAAA39148}"/>
    <cellStyle name="Normal 6" xfId="11" xr:uid="{B443DEF5-97E3-4969-AE80-409C820AF8AF}"/>
    <cellStyle name="Percent" xfId="2" builtinId="5"/>
    <cellStyle name="Percent 2" xfId="6" xr:uid="{71E512DF-A67B-43C8-BD27-9A985F8F16B6}"/>
  </cellStyles>
  <dxfs count="411">
    <dxf>
      <font>
        <color rgb="FFFF0000"/>
      </font>
    </dxf>
    <dxf>
      <font>
        <color rgb="FFFF0000"/>
      </font>
    </dxf>
    <dxf>
      <font>
        <color rgb="FFFF0000"/>
      </font>
    </dxf>
    <dxf>
      <font>
        <color theme="7"/>
      </font>
    </dxf>
    <dxf>
      <font>
        <b/>
        <i val="0"/>
        <color theme="7"/>
      </font>
    </dxf>
    <dxf>
      <font>
        <b val="0"/>
        <i val="0"/>
        <strike val="0"/>
        <condense val="0"/>
        <extend val="0"/>
        <outline val="0"/>
        <shadow val="0"/>
        <u val="none"/>
        <vertAlign val="baseline"/>
        <sz val="11"/>
        <color theme="1"/>
        <name val="Calibri"/>
        <family val="2"/>
        <scheme val="minor"/>
      </font>
      <fill>
        <patternFill patternType="solid">
          <fgColor indexed="64"/>
          <bgColor theme="4" tint="0.79998168889431442"/>
        </patternFill>
      </fill>
    </dxf>
    <dxf>
      <font>
        <b val="0"/>
        <i val="0"/>
        <strike val="0"/>
        <condense val="0"/>
        <extend val="0"/>
        <outline val="0"/>
        <shadow val="0"/>
        <u val="none"/>
        <vertAlign val="baseline"/>
        <sz val="11"/>
        <color theme="1"/>
        <name val="Calibri"/>
        <family val="2"/>
        <scheme val="minor"/>
      </font>
      <fill>
        <patternFill patternType="solid">
          <fgColor indexed="64"/>
          <bgColor theme="4" tint="0.79998168889431442"/>
        </patternFill>
      </fill>
    </dxf>
    <dxf>
      <font>
        <b val="0"/>
        <i val="0"/>
        <strike val="0"/>
        <condense val="0"/>
        <extend val="0"/>
        <outline val="0"/>
        <shadow val="0"/>
        <u val="none"/>
        <vertAlign val="baseline"/>
        <sz val="11"/>
        <color theme="1"/>
        <name val="Calibri"/>
        <family val="2"/>
        <scheme val="minor"/>
      </font>
      <fill>
        <patternFill patternType="solid">
          <fgColor indexed="64"/>
          <bgColor theme="4" tint="0.79998168889431442"/>
        </patternFill>
      </fill>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rgb="FF0000FF"/>
        <name val="Calibri Light"/>
        <family val="2"/>
        <scheme val="major"/>
      </font>
      <numFmt numFmtId="13" formatCode="0%"/>
      <alignment horizontal="general" vertical="top" textRotation="0" wrapText="0" indent="0" justifyLastLine="0" shrinkToFit="0" readingOrder="0"/>
    </dxf>
    <dxf>
      <font>
        <b val="0"/>
        <i val="0"/>
        <strike val="0"/>
        <condense val="0"/>
        <extend val="0"/>
        <outline val="0"/>
        <shadow val="0"/>
        <u val="none"/>
        <vertAlign val="baseline"/>
        <sz val="11"/>
        <color rgb="FF0000FF"/>
        <name val="Calibri Light"/>
        <family val="2"/>
        <scheme val="major"/>
      </font>
      <numFmt numFmtId="13" formatCode="0%"/>
      <alignment horizontal="general" vertical="top" textRotation="0" wrapText="0" indent="0" justifyLastLine="0" shrinkToFit="0" readingOrder="0"/>
    </dxf>
    <dxf>
      <font>
        <strike val="0"/>
        <outline val="0"/>
        <shadow val="0"/>
        <u val="none"/>
        <vertAlign val="baseline"/>
        <sz val="11"/>
        <color rgb="FF0000FF"/>
        <name val="Calibri Light"/>
        <family val="2"/>
        <scheme val="major"/>
      </font>
      <numFmt numFmtId="13" formatCode="0%"/>
      <alignment horizontal="general" vertical="top" textRotation="0" wrapText="0" indent="0" justifyLastLine="0" shrinkToFit="0" readingOrder="0"/>
    </dxf>
    <dxf>
      <font>
        <strike val="0"/>
        <outline val="0"/>
        <shadow val="0"/>
        <u val="none"/>
        <vertAlign val="baseline"/>
        <sz val="11"/>
        <color rgb="FF0000FF"/>
        <name val="Calibri Light"/>
        <family val="2"/>
        <scheme val="major"/>
      </font>
      <numFmt numFmtId="13" formatCode="0%"/>
      <alignment horizontal="general" vertical="top" textRotation="0" wrapText="0" indent="0" justifyLastLine="0" shrinkToFit="0" readingOrder="0"/>
    </dxf>
    <dxf>
      <font>
        <strike val="0"/>
        <outline val="0"/>
        <shadow val="0"/>
        <u val="none"/>
        <vertAlign val="baseline"/>
        <sz val="11"/>
        <color rgb="FF0000FF"/>
        <name val="Calibri Light"/>
        <family val="2"/>
        <scheme val="major"/>
      </font>
      <alignment horizontal="center" vertical="top" textRotation="0" wrapText="0" indent="0" justifyLastLine="0" shrinkToFit="0" readingOrder="0"/>
    </dxf>
    <dxf>
      <font>
        <strike val="0"/>
        <outline val="0"/>
        <shadow val="0"/>
        <u val="none"/>
        <vertAlign val="baseline"/>
        <sz val="11"/>
        <name val="Calibri Light"/>
        <family val="2"/>
        <scheme val="major"/>
      </font>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alignment vertical="top" textRotation="0" indent="0" justifyLastLine="0" shrinkToFit="0" readingOrder="0"/>
    </dxf>
    <dxf>
      <font>
        <strike val="0"/>
        <outline val="0"/>
        <shadow val="0"/>
        <u val="none"/>
        <vertAlign val="baseline"/>
        <sz val="11"/>
        <color rgb="FF0000FF"/>
        <name val="Calibri Light"/>
        <family val="2"/>
        <scheme val="major"/>
      </font>
      <numFmt numFmtId="13" formatCode="0%"/>
      <alignment horizontal="general" vertical="top" textRotation="0" wrapText="0" indent="0" justifyLastLine="0" shrinkToFit="0" readingOrder="0"/>
    </dxf>
    <dxf>
      <font>
        <strike val="0"/>
        <outline val="0"/>
        <shadow val="0"/>
        <u val="none"/>
        <vertAlign val="baseline"/>
        <sz val="11"/>
        <color rgb="FF0000FF"/>
        <name val="Calibri Light"/>
        <family val="2"/>
        <scheme val="major"/>
      </font>
      <alignment horizontal="center" vertical="top" textRotation="0" wrapText="0" indent="0" justifyLastLine="0" shrinkToFit="0" readingOrder="0"/>
    </dxf>
    <dxf>
      <font>
        <strike val="0"/>
        <outline val="0"/>
        <shadow val="0"/>
        <u val="none"/>
        <vertAlign val="baseline"/>
        <sz val="11"/>
        <name val="Calibri Light"/>
        <family val="2"/>
        <scheme val="major"/>
      </font>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numFmt numFmtId="13" formatCode="0%"/>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numFmt numFmtId="13" formatCode="0%"/>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numFmt numFmtId="13" formatCode="0%"/>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alignment vertical="top" textRotation="0" indent="0" justifyLastLine="0" shrinkToFit="0" readingOrder="0"/>
    </dxf>
    <dxf>
      <font>
        <strike val="0"/>
        <outline val="0"/>
        <shadow val="0"/>
        <u val="none"/>
        <vertAlign val="baseline"/>
        <sz val="11"/>
        <color rgb="FF0000FF"/>
        <name val="Calibri Light"/>
        <family val="2"/>
        <scheme val="major"/>
      </font>
      <numFmt numFmtId="13" formatCode="0%"/>
      <alignment horizontal="general" vertical="top" textRotation="0" wrapText="0" indent="0" justifyLastLine="0" shrinkToFit="0" readingOrder="0"/>
    </dxf>
    <dxf>
      <font>
        <b val="0"/>
        <i val="0"/>
        <strike val="0"/>
        <condense val="0"/>
        <extend val="0"/>
        <outline val="0"/>
        <shadow val="0"/>
        <u val="none"/>
        <vertAlign val="baseline"/>
        <sz val="11"/>
        <color rgb="FF0000FF"/>
        <name val="Calibri Light"/>
        <family val="2"/>
        <scheme val="major"/>
      </font>
      <numFmt numFmtId="13" formatCode="0%"/>
      <fill>
        <patternFill patternType="solid">
          <fgColor indexed="64"/>
          <bgColor theme="0" tint="-0.14999847407452621"/>
        </patternFill>
      </fill>
      <alignment horizontal="center" vertical="top" textRotation="0" wrapText="0" indent="0" justifyLastLine="0" shrinkToFit="0" readingOrder="0"/>
      <border diagonalUp="0" diagonalDown="0">
        <left style="thin">
          <color theme="0"/>
        </left>
        <right style="thin">
          <color theme="0" tint="-0.14999847407452621"/>
        </right>
        <top style="thin">
          <color theme="0"/>
        </top>
        <bottom style="thin">
          <color theme="0"/>
        </bottom>
        <vertical/>
        <horizontal/>
      </border>
    </dxf>
    <dxf>
      <font>
        <strike val="0"/>
        <outline val="0"/>
        <shadow val="0"/>
        <u val="none"/>
        <vertAlign val="baseline"/>
        <sz val="11"/>
        <color rgb="FF0000FF"/>
        <name val="Calibri Light"/>
        <family val="2"/>
        <scheme val="major"/>
      </font>
      <numFmt numFmtId="13" formatCode="0%"/>
      <fill>
        <patternFill patternType="solid">
          <fgColor indexed="64"/>
          <bgColor theme="0" tint="-0.14999847407452621"/>
        </patternFill>
      </fill>
      <alignment horizontal="center" vertical="top" textRotation="0" wrapText="0" indent="0" justifyLastLine="0" shrinkToFit="0" readingOrder="0"/>
      <border diagonalUp="0" diagonalDown="0">
        <left style="thin">
          <color theme="0"/>
        </left>
        <right style="thin">
          <color theme="0"/>
        </right>
        <top style="thin">
          <color theme="0"/>
        </top>
        <bottom style="thin">
          <color theme="0"/>
        </bottom>
        <vertical/>
        <horizontal style="thin">
          <color theme="0"/>
        </horizontal>
      </border>
    </dxf>
    <dxf>
      <font>
        <strike val="0"/>
        <outline val="0"/>
        <shadow val="0"/>
        <u val="none"/>
        <vertAlign val="baseline"/>
        <sz val="11"/>
        <color auto="1"/>
        <name val="Calibri Light"/>
        <family val="2"/>
        <scheme val="major"/>
      </font>
      <numFmt numFmtId="13" formatCode="0%"/>
      <fill>
        <patternFill patternType="solid">
          <fgColor indexed="64"/>
          <bgColor theme="0" tint="-0.14999847407452621"/>
        </patternFill>
      </fill>
      <alignment horizontal="general" vertical="top"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strike val="0"/>
        <outline val="0"/>
        <shadow val="0"/>
        <u val="none"/>
        <vertAlign val="baseline"/>
        <sz val="11"/>
        <color auto="1"/>
        <name val="Calibri Light"/>
        <family val="2"/>
        <scheme val="major"/>
      </font>
      <numFmt numFmtId="13" formatCode="0%"/>
      <fill>
        <patternFill patternType="solid">
          <fgColor indexed="64"/>
          <bgColor theme="0" tint="-0.14999847407452621"/>
        </patternFill>
      </fill>
      <alignment horizontal="general" vertical="top"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strike val="0"/>
        <outline val="0"/>
        <shadow val="0"/>
        <u val="none"/>
        <vertAlign val="baseline"/>
        <sz val="11"/>
        <color rgb="FF0000FF"/>
        <name val="Calibri Light"/>
        <family val="2"/>
        <scheme val="major"/>
      </font>
      <alignment horizontal="center" vertical="top" textRotation="0" wrapText="0" indent="0" justifyLastLine="0" shrinkToFit="0" readingOrder="0"/>
    </dxf>
    <dxf>
      <font>
        <b/>
        <i val="0"/>
        <strike val="0"/>
        <condense val="0"/>
        <extend val="0"/>
        <outline val="0"/>
        <shadow val="0"/>
        <u val="none"/>
        <vertAlign val="baseline"/>
        <sz val="11"/>
        <color theme="1"/>
        <name val="Calibri Light"/>
        <family val="2"/>
        <scheme val="major"/>
      </font>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alignment vertical="top" textRotation="0" indent="0" justifyLastLine="0" shrinkToFit="0" readingOrder="0"/>
    </dxf>
    <dxf>
      <font>
        <strike val="0"/>
        <outline val="0"/>
        <shadow val="0"/>
        <u val="none"/>
        <vertAlign val="baseline"/>
        <sz val="11"/>
        <color rgb="FF0000FF"/>
        <name val="Calibri Light"/>
        <family val="2"/>
        <scheme val="major"/>
      </font>
      <numFmt numFmtId="13" formatCode="0%"/>
      <alignment horizontal="general" vertical="top" textRotation="0" wrapText="0" indent="0" justifyLastLine="0" shrinkToFit="0" readingOrder="0"/>
    </dxf>
    <dxf>
      <font>
        <strike val="0"/>
        <outline val="0"/>
        <shadow val="0"/>
        <u val="none"/>
        <vertAlign val="baseline"/>
        <sz val="11"/>
        <color rgb="FF0000FF"/>
        <name val="Calibri Light"/>
        <family val="2"/>
        <scheme val="major"/>
      </font>
      <fill>
        <patternFill>
          <fgColor indexed="64"/>
          <bgColor theme="0" tint="-0.14999847407452621"/>
        </patternFill>
      </fill>
      <alignment horizontal="center" vertical="top" textRotation="0" wrapText="0" indent="0" justifyLastLine="0" shrinkToFit="0" readingOrder="0"/>
    </dxf>
    <dxf>
      <font>
        <b val="0"/>
        <i val="0"/>
        <strike val="0"/>
        <condense val="0"/>
        <extend val="0"/>
        <outline val="0"/>
        <shadow val="0"/>
        <u val="none"/>
        <vertAlign val="baseline"/>
        <sz val="11"/>
        <color auto="1"/>
        <name val="Calibri Light"/>
        <family val="2"/>
        <scheme val="major"/>
      </font>
      <numFmt numFmtId="0" formatCode="General"/>
      <fill>
        <patternFill>
          <fgColor indexed="64"/>
          <bgColor theme="0" tint="-0.1499984740745262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Calibri Light"/>
        <family val="2"/>
        <scheme val="major"/>
      </font>
      <numFmt numFmtId="0" formatCode="General"/>
      <fill>
        <patternFill>
          <fgColor indexed="64"/>
          <bgColor theme="0" tint="-0.14999847407452621"/>
        </patternFill>
      </fill>
      <alignment horizontal="general" vertical="top" textRotation="0" wrapText="0" indent="0" justifyLastLine="0" shrinkToFit="0" readingOrder="0"/>
    </dxf>
    <dxf>
      <font>
        <strike val="0"/>
        <outline val="0"/>
        <shadow val="0"/>
        <u val="none"/>
        <vertAlign val="baseline"/>
        <sz val="11"/>
        <color rgb="FF0000FF"/>
        <name val="Calibri Light"/>
        <family val="2"/>
        <scheme val="major"/>
      </font>
      <alignment horizontal="center" vertical="top" textRotation="0" wrapText="0" indent="0" justifyLastLine="0" shrinkToFit="0" readingOrder="0"/>
    </dxf>
    <dxf>
      <font>
        <strike val="0"/>
        <outline val="0"/>
        <shadow val="0"/>
        <u val="none"/>
        <vertAlign val="baseline"/>
        <sz val="11"/>
        <name val="Calibri Light"/>
        <family val="2"/>
        <scheme val="major"/>
      </font>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numFmt numFmtId="13" formatCode="0%"/>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numFmt numFmtId="13" formatCode="0%"/>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numFmt numFmtId="13" formatCode="0%"/>
      <alignment horizontal="center" vertical="top" textRotation="0" wrapText="0" indent="0" justifyLastLine="0" shrinkToFit="0" readingOrder="0"/>
    </dxf>
    <dxf>
      <font>
        <strike val="0"/>
        <outline val="0"/>
        <shadow val="0"/>
        <u val="none"/>
        <vertAlign val="baseline"/>
        <sz val="11"/>
        <color rgb="FF0000FF"/>
        <name val="Calibri Light"/>
        <family val="2"/>
        <scheme val="major"/>
      </font>
      <alignment vertical="top" textRotation="0" indent="0" justifyLastLine="0" shrinkToFit="0" readingOrder="0"/>
    </dxf>
    <dxf>
      <font>
        <strike val="0"/>
        <outline val="0"/>
        <shadow val="0"/>
        <u val="none"/>
        <vertAlign val="baseline"/>
        <sz val="11"/>
        <color rgb="FF0000FF"/>
        <name val="Calibri Light"/>
        <family val="2"/>
        <scheme val="major"/>
      </font>
      <numFmt numFmtId="13" formatCode="0%"/>
      <alignment horizontal="general" vertical="top" textRotation="0" wrapText="0" indent="0" justifyLastLine="0" shrinkToFit="0" readingOrder="0"/>
    </dxf>
    <dxf>
      <font>
        <strike val="0"/>
        <outline val="0"/>
        <shadow val="0"/>
        <u val="none"/>
        <vertAlign val="baseline"/>
        <sz val="11"/>
        <color rgb="FF0000FF"/>
        <name val="Calibri Light"/>
        <family val="2"/>
        <scheme val="major"/>
      </font>
      <numFmt numFmtId="13" formatCode="0%"/>
      <alignment horizontal="center" vertical="top" textRotation="0" wrapText="0" indent="0" justifyLastLine="0" shrinkToFit="0" readingOrder="0"/>
    </dxf>
    <dxf>
      <font>
        <b val="0"/>
        <i val="0"/>
        <strike val="0"/>
        <condense val="0"/>
        <extend val="0"/>
        <outline val="0"/>
        <shadow val="0"/>
        <u val="none"/>
        <vertAlign val="baseline"/>
        <sz val="11"/>
        <color auto="1"/>
        <name val="Calibri Light"/>
        <family val="2"/>
        <scheme val="major"/>
      </font>
      <numFmt numFmtId="0" formatCode="General"/>
      <alignment horizontal="general" vertical="top" textRotation="0" wrapText="0" indent="0" justifyLastLine="0" shrinkToFit="0" readingOrder="0"/>
    </dxf>
    <dxf>
      <font>
        <b val="0"/>
        <i val="0"/>
        <strike val="0"/>
        <condense val="0"/>
        <extend val="0"/>
        <outline val="0"/>
        <shadow val="0"/>
        <u val="none"/>
        <vertAlign val="baseline"/>
        <sz val="11"/>
        <color auto="1"/>
        <name val="Calibri Light"/>
        <family val="2"/>
        <scheme val="major"/>
      </font>
      <numFmt numFmtId="0" formatCode="General"/>
      <alignment horizontal="general" vertical="top" textRotation="0" wrapText="0" indent="0" justifyLastLine="0" shrinkToFit="0" readingOrder="0"/>
    </dxf>
    <dxf>
      <font>
        <strike val="0"/>
        <outline val="0"/>
        <shadow val="0"/>
        <u val="none"/>
        <vertAlign val="baseline"/>
        <sz val="11"/>
        <color rgb="FF0000FF"/>
        <name val="Calibri Light"/>
        <family val="2"/>
        <scheme val="major"/>
      </font>
      <alignment horizontal="center" vertical="top" textRotation="0" wrapText="0" indent="0" justifyLastLine="0" shrinkToFit="0" readingOrder="0"/>
    </dxf>
    <dxf>
      <font>
        <b/>
        <i val="0"/>
        <strike val="0"/>
        <condense val="0"/>
        <extend val="0"/>
        <outline val="0"/>
        <shadow val="0"/>
        <u val="none"/>
        <vertAlign val="baseline"/>
        <sz val="11"/>
        <color theme="1"/>
        <name val="Calibri Light"/>
        <family val="2"/>
        <scheme val="major"/>
      </font>
      <alignment horizontal="center" vertical="top"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8" tint="0.499984740745262"/>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8" tint="0.499984740745262"/>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8" tint="0.499984740745262"/>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8" tint="0.749992370372631"/>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8" tint="0.749992370372631"/>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8" tint="0.89999084444715716"/>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8" tint="0.89999084444715716"/>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9" tint="0.39997558519241921"/>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9" tint="0.59999389629810485"/>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9" tint="0.59999389629810485"/>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9" tint="0.79998168889431442"/>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9" tint="0.79998168889431442"/>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7" tint="0.39997558519241921"/>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7" tint="0.59999389629810485"/>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7" tint="0.59999389629810485"/>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7" tint="0.79998168889431442"/>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7" tint="0.79998168889431442"/>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4" tint="0.39997558519241921"/>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4" tint="0.59999389629810485"/>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4" tint="0.59999389629810485"/>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4" tint="0.79998168889431442"/>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fill>
        <patternFill patternType="solid">
          <fgColor indexed="64"/>
          <bgColor theme="4" tint="0.79998168889431442"/>
        </patternFill>
      </fill>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3" formatCode="0%"/>
    </dxf>
    <dxf>
      <font>
        <b val="0"/>
        <i val="0"/>
        <strike val="0"/>
        <condense val="0"/>
        <extend val="0"/>
        <outline val="0"/>
        <shadow val="0"/>
        <u val="none"/>
        <vertAlign val="baseline"/>
        <sz val="11"/>
        <color auto="1"/>
        <name val="Calibri"/>
        <family val="2"/>
        <scheme val="none"/>
      </font>
      <numFmt numFmtId="13" formatCode="0%"/>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rgb="FF0000FF"/>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rgb="FF0000FF"/>
        <name val="Calibri"/>
        <family val="2"/>
        <scheme val="minor"/>
      </font>
      <numFmt numFmtId="0" formatCode="General"/>
    </dxf>
    <dxf>
      <font>
        <strike val="0"/>
        <outline val="0"/>
        <shadow val="0"/>
        <u val="none"/>
        <vertAlign val="baseline"/>
        <sz val="11"/>
        <color auto="1"/>
        <name val="Calibri"/>
        <family val="2"/>
      </font>
    </dxf>
    <dxf>
      <font>
        <b val="0"/>
        <i val="0"/>
        <strike val="0"/>
        <condense val="0"/>
        <extend val="0"/>
        <outline val="0"/>
        <shadow val="0"/>
        <u val="none"/>
        <vertAlign val="baseline"/>
        <sz val="11"/>
        <color rgb="FF0000FF"/>
        <name val="Calibri"/>
        <family val="2"/>
        <scheme val="none"/>
      </font>
    </dxf>
    <dxf>
      <font>
        <b/>
        <i val="0"/>
        <strike val="0"/>
        <condense val="0"/>
        <extend val="0"/>
        <outline val="0"/>
        <shadow val="0"/>
        <u val="none"/>
        <vertAlign val="baseline"/>
        <sz val="11"/>
        <color rgb="FF0000FF"/>
        <name val="Calibri"/>
        <family val="2"/>
        <scheme val="minor"/>
      </font>
      <alignment horizontal="general" vertical="bottom" textRotation="0" wrapText="1" indent="0" justifyLastLine="0" shrinkToFit="0" readingOrder="0"/>
    </dxf>
    <dxf>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border diagonalUp="0" diagonalDown="0" outline="0">
        <left/>
        <right style="medium">
          <color theme="0" tint="-0.499984740745262"/>
        </right>
        <top/>
        <bottom/>
      </border>
    </dxf>
    <dxf>
      <font>
        <b val="0"/>
        <i val="0"/>
        <strike val="0"/>
        <condense val="0"/>
        <extend val="0"/>
        <outline val="0"/>
        <shadow val="0"/>
        <u val="none"/>
        <vertAlign val="baseline"/>
        <sz val="11"/>
        <color auto="1"/>
        <name val="Calibri"/>
        <family val="2"/>
        <scheme val="none"/>
      </font>
      <numFmt numFmtId="165" formatCode="_ [$€-413]* #,##0_ ;_ [$€-413]* \-#,##0_ ;_ [$€-413]* &quot; - &quot;_ ;_ @_ "/>
      <border diagonalUp="0" diagonalDown="0">
        <left/>
        <right style="medium">
          <color theme="0" tint="-0.499984740745262"/>
        </right>
        <top/>
        <bottom/>
        <vertical/>
        <horizontal/>
      </border>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border diagonalUp="0" diagonalDown="0" outline="0">
        <left/>
        <right style="medium">
          <color theme="0" tint="-0.499984740745262"/>
        </right>
        <top/>
        <bottom/>
      </border>
    </dxf>
    <dxf>
      <font>
        <b val="0"/>
        <i val="0"/>
        <strike val="0"/>
        <condense val="0"/>
        <extend val="0"/>
        <outline val="0"/>
        <shadow val="0"/>
        <u val="none"/>
        <vertAlign val="baseline"/>
        <sz val="11"/>
        <color auto="1"/>
        <name val="Calibri"/>
        <family val="2"/>
        <scheme val="minor"/>
      </font>
      <numFmt numFmtId="165" formatCode="_ [$€-413]* #,##0_ ;_ [$€-413]* \-#,##0_ ;_ [$€-413]* &quot; - &quot;_ ;_ @_ "/>
      <border diagonalUp="0" diagonalDown="0">
        <left/>
        <right style="medium">
          <color theme="0" tint="-0.499984740745262"/>
        </right>
        <top/>
        <bottom/>
        <vertical/>
        <horizontal/>
      </border>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fill>
        <patternFill patternType="solid">
          <fgColor indexed="64"/>
          <bgColor theme="7" tint="0.79998168889431442"/>
        </patternFill>
      </fill>
      <border diagonalUp="0" diagonalDown="0" outline="0">
        <left/>
        <right style="medium">
          <color indexed="64"/>
        </right>
        <top/>
        <bottom/>
      </border>
    </dxf>
    <dxf>
      <font>
        <b val="0"/>
        <i val="0"/>
        <strike val="0"/>
        <condense val="0"/>
        <extend val="0"/>
        <outline val="0"/>
        <shadow val="0"/>
        <u val="none"/>
        <vertAlign val="baseline"/>
        <sz val="11"/>
        <color auto="1"/>
        <name val="Calibri"/>
        <family val="2"/>
        <scheme val="minor"/>
      </font>
      <numFmt numFmtId="165" formatCode="_ [$€-413]* #,##0_ ;_ [$€-413]* \-#,##0_ ;_ [$€-413]* &quot; - &quot;_ ;_ @_ "/>
      <border diagonalUp="0" diagonalDown="0">
        <left/>
        <right style="medium">
          <color indexed="64"/>
        </right>
        <top/>
        <bottom/>
        <vertical/>
        <horizontal/>
      </border>
    </dxf>
    <dxf>
      <font>
        <b val="0"/>
        <i val="0"/>
        <strike val="0"/>
        <condense val="0"/>
        <extend val="0"/>
        <outline val="0"/>
        <shadow val="0"/>
        <u val="none"/>
        <vertAlign val="baseline"/>
        <sz val="11"/>
        <color auto="1"/>
        <name val="Calibri"/>
        <family val="2"/>
        <scheme val="minor"/>
      </font>
      <numFmt numFmtId="165" formatCode="_ [$€-413]* #,##0_ ;_ [$€-413]* \-#,##0_ ;_ [$€-413]* &quot; - &quot;_ ;_ @_ "/>
      <fill>
        <patternFill patternType="solid">
          <fgColor indexed="64"/>
          <bgColor theme="7" tint="0.79998168889431442"/>
        </patternFill>
      </fill>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fill>
        <patternFill patternType="solid">
          <fgColor indexed="64"/>
          <bgColor theme="7" tint="0.79998168889431442"/>
        </patternFill>
      </fill>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fill>
        <patternFill patternType="solid">
          <fgColor indexed="64"/>
          <bgColor theme="7" tint="0.79998168889431442"/>
        </patternFill>
      </fill>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none"/>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border diagonalUp="0" diagonalDown="0" outline="0">
        <left/>
        <right style="medium">
          <color theme="0" tint="-0.499984740745262"/>
        </right>
        <top/>
        <bottom/>
      </border>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strike val="0"/>
        <condense val="0"/>
        <extend val="0"/>
        <outline val="0"/>
        <shadow val="0"/>
        <u val="none"/>
        <vertAlign val="baseline"/>
        <sz val="11"/>
        <color auto="1"/>
        <name val="Calibri"/>
        <family val="2"/>
        <scheme val="minor"/>
      </font>
      <numFmt numFmtId="165" formatCode="_ [$€-413]* #,##0_ ;_ [$€-413]* \-#,##0_ ;_ [$€-413]* &quot; - &quot;_ ;_ @_ "/>
    </dxf>
    <dxf>
      <font>
        <b val="0"/>
        <i/>
        <strike val="0"/>
        <condense val="0"/>
        <extend val="0"/>
        <outline val="0"/>
        <shadow val="0"/>
        <u val="none"/>
        <vertAlign val="baseline"/>
        <sz val="11"/>
        <color auto="1"/>
        <name val="Calibri"/>
        <family val="2"/>
        <scheme val="minor"/>
      </font>
      <numFmt numFmtId="165" formatCode="_ [$€-413]* #,##0_ ;_ [$€-413]* \-#,##0_ ;_ [$€-413]* &quot; - &quot;_ ;_ @_ "/>
    </dxf>
    <dxf>
      <font>
        <b val="0"/>
        <i/>
        <strike val="0"/>
        <condense val="0"/>
        <extend val="0"/>
        <outline val="0"/>
        <shadow val="0"/>
        <u val="none"/>
        <vertAlign val="baseline"/>
        <sz val="11"/>
        <color auto="1"/>
        <name val="Calibri"/>
        <family val="2"/>
        <scheme val="minor"/>
      </font>
      <numFmt numFmtId="165" formatCode="_ [$€-413]* #,##0_ ;_ [$€-413]* \-#,##0_ ;_ [$€-413]* &quot; - &quot;_ ;_ @_ "/>
    </dxf>
    <dxf>
      <font>
        <b val="0"/>
        <i/>
        <strike val="0"/>
        <condense val="0"/>
        <extend val="0"/>
        <outline val="0"/>
        <shadow val="0"/>
        <u val="none"/>
        <vertAlign val="baseline"/>
        <sz val="11"/>
        <color auto="1"/>
        <name val="Calibri"/>
        <family val="2"/>
        <scheme val="minor"/>
      </font>
      <numFmt numFmtId="165" formatCode="_ [$€-413]* #,##0_ ;_ [$€-413]* \-#,##0_ ;_ [$€-413]* &quot; - &quot;_ ;_ @_ "/>
    </dxf>
    <dxf>
      <font>
        <b val="0"/>
        <i/>
        <strike val="0"/>
        <condense val="0"/>
        <extend val="0"/>
        <outline val="0"/>
        <shadow val="0"/>
        <u val="none"/>
        <vertAlign val="baseline"/>
        <sz val="11"/>
        <color auto="1"/>
        <name val="Calibri"/>
        <family val="2"/>
        <scheme val="minor"/>
      </font>
      <numFmt numFmtId="165" formatCode="_ [$€-413]* #,##0_ ;_ [$€-413]* \-#,##0_ ;_ [$€-413]* &quot; - &quot;_ ;_ @_ "/>
    </dxf>
    <dxf>
      <font>
        <b val="0"/>
        <i/>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strike val="0"/>
        <condense val="0"/>
        <extend val="0"/>
        <outline val="0"/>
        <shadow val="0"/>
        <u val="none"/>
        <vertAlign val="baseline"/>
        <sz val="11"/>
        <color auto="1"/>
        <name val="Calibri"/>
        <family val="2"/>
        <scheme val="minor"/>
      </font>
      <numFmt numFmtId="165" formatCode="_ [$€-413]* #,##0_ ;_ [$€-413]* \-#,##0_ ;_ [$€-413]* &quot; - &quot;_ ;_ @_ "/>
    </dxf>
    <dxf>
      <font>
        <b val="0"/>
        <i/>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border diagonalUp="0" diagonalDown="0" outline="0">
        <left/>
        <right style="medium">
          <color theme="0" tint="-0.499984740745262"/>
        </right>
        <top/>
        <bottom/>
      </border>
    </dxf>
    <dxf>
      <font>
        <b val="0"/>
        <i val="0"/>
        <strike val="0"/>
        <condense val="0"/>
        <extend val="0"/>
        <outline val="0"/>
        <shadow val="0"/>
        <u val="none"/>
        <vertAlign val="baseline"/>
        <sz val="11"/>
        <color auto="1"/>
        <name val="Calibri"/>
        <family val="2"/>
        <scheme val="minor"/>
      </font>
      <numFmt numFmtId="165" formatCode="_ [$€-413]* #,##0_ ;_ [$€-413]* \-#,##0_ ;_ [$€-413]* &quot; - &quot;_ ;_ @_ "/>
      <border diagonalUp="0" diagonalDown="0">
        <left/>
        <right style="medium">
          <color theme="0" tint="-0.499984740745262"/>
        </right>
        <top/>
        <bottom/>
        <vertical/>
        <horizontal/>
      </border>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strike val="0"/>
        <condense val="0"/>
        <extend val="0"/>
        <outline val="0"/>
        <shadow val="0"/>
        <u val="none"/>
        <vertAlign val="baseline"/>
        <sz val="11"/>
        <color auto="1"/>
        <name val="Calibri"/>
        <family val="2"/>
        <scheme val="none"/>
      </font>
      <numFmt numFmtId="165" formatCode="_ [$€-413]* #,##0_ ;_ [$€-413]* \-#,##0_ ;_ [$€-413]* &quot; - &quot;_ ;_ @_ "/>
      <border diagonalUp="0" diagonalDown="0" outline="0">
        <left/>
        <right style="medium">
          <color theme="0" tint="-0.499984740745262"/>
        </right>
        <top/>
        <bottom/>
      </border>
    </dxf>
    <dxf>
      <font>
        <b val="0"/>
        <i/>
        <strike val="0"/>
        <condense val="0"/>
        <extend val="0"/>
        <outline val="0"/>
        <shadow val="0"/>
        <u val="none"/>
        <vertAlign val="baseline"/>
        <sz val="11"/>
        <color auto="1"/>
        <name val="Calibri"/>
        <family val="2"/>
        <scheme val="none"/>
      </font>
      <numFmt numFmtId="165" formatCode="_ [$€-413]* #,##0_ ;_ [$€-413]* \-#,##0_ ;_ [$€-413]* &quot; - &quot;_ ;_ @_ "/>
      <border diagonalUp="0" diagonalDown="0" outline="0">
        <left/>
        <right style="medium">
          <color theme="0" tint="-0.499984740745262"/>
        </right>
        <top/>
        <bottom/>
      </border>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border diagonalUp="0" diagonalDown="0" outline="0">
        <left/>
        <right style="medium">
          <color indexed="64"/>
        </right>
        <top/>
        <bottom/>
      </border>
    </dxf>
    <dxf>
      <font>
        <b val="0"/>
        <i val="0"/>
        <strike val="0"/>
        <condense val="0"/>
        <extend val="0"/>
        <outline val="0"/>
        <shadow val="0"/>
        <u val="none"/>
        <vertAlign val="baseline"/>
        <sz val="11"/>
        <color auto="1"/>
        <name val="Calibri"/>
        <family val="2"/>
        <scheme val="minor"/>
      </font>
      <numFmt numFmtId="165" formatCode="_ [$€-413]* #,##0_ ;_ [$€-413]* \-#,##0_ ;_ [$€-413]* &quot; - &quot;_ ;_ @_ "/>
      <border diagonalUp="0" diagonalDown="0">
        <left/>
        <right style="medium">
          <color indexed="64"/>
        </right>
        <top/>
        <bottom/>
        <vertical/>
        <horizontal/>
      </border>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numFmt numFmtId="165" formatCode="_ [$€-413]* #,##0_ ;_ [$€-413]* \-#,##0_ ;_ [$€-413]* &quot; - &quot;_ ;_ @_ "/>
    </dxf>
    <dxf>
      <font>
        <b val="0"/>
        <i val="0"/>
        <strike val="0"/>
        <condense val="0"/>
        <extend val="0"/>
        <outline val="0"/>
        <shadow val="0"/>
        <u val="none"/>
        <vertAlign val="baseline"/>
        <sz val="11"/>
        <color auto="1"/>
        <name val="Calibri"/>
        <family val="2"/>
        <scheme val="minor"/>
      </font>
      <fill>
        <patternFill patternType="solid">
          <fgColor indexed="64"/>
          <bgColor rgb="FFCCFF33"/>
        </patternFill>
      </fill>
      <border diagonalUp="0" diagonalDown="0" outline="0">
        <left/>
        <right style="medium">
          <color indexed="64"/>
        </right>
        <top/>
        <bottom/>
      </border>
    </dxf>
    <dxf>
      <font>
        <b val="0"/>
        <i val="0"/>
        <strike val="0"/>
        <condense val="0"/>
        <extend val="0"/>
        <outline val="0"/>
        <shadow val="0"/>
        <u val="none"/>
        <vertAlign val="baseline"/>
        <sz val="11"/>
        <color auto="1"/>
        <name val="Calibri"/>
        <family val="2"/>
        <scheme val="minor"/>
      </font>
      <numFmt numFmtId="0" formatCode="General"/>
      <border diagonalUp="0" diagonalDown="0">
        <left/>
        <right style="medium">
          <color indexed="64"/>
        </right>
        <top/>
        <bottom/>
        <vertical/>
        <horizontal/>
      </border>
    </dxf>
    <dxf>
      <font>
        <b val="0"/>
        <i val="0"/>
        <strike val="0"/>
        <condense val="0"/>
        <extend val="0"/>
        <outline val="0"/>
        <shadow val="0"/>
        <u val="none"/>
        <vertAlign val="baseline"/>
        <sz val="11"/>
        <color auto="1"/>
        <name val="Calibri"/>
        <family val="2"/>
        <scheme val="minor"/>
      </font>
      <border diagonalUp="0" diagonalDown="0" outline="0">
        <left/>
        <right style="double">
          <color indexed="64"/>
        </right>
        <top/>
        <bottom/>
      </border>
    </dxf>
    <dxf>
      <font>
        <b val="0"/>
        <i val="0"/>
        <strike val="0"/>
        <condense val="0"/>
        <extend val="0"/>
        <outline val="0"/>
        <shadow val="0"/>
        <u val="none"/>
        <vertAlign val="baseline"/>
        <sz val="11"/>
        <color auto="1"/>
        <name val="Calibri"/>
        <family val="2"/>
        <scheme val="minor"/>
      </font>
      <numFmt numFmtId="0" formatCode="General"/>
      <border diagonalUp="0" diagonalDown="0">
        <left/>
        <right style="double">
          <color indexed="64"/>
        </right>
        <top/>
        <bottom/>
        <vertical/>
        <horizontal/>
      </border>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border diagonalUp="0" diagonalDown="0" outline="0">
        <left/>
        <right style="medium">
          <color indexed="64"/>
        </right>
        <top/>
        <bottom/>
      </border>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border diagonalUp="0" diagonalDown="0" outline="0">
        <left/>
        <right style="thick">
          <color indexed="64"/>
        </right>
        <top/>
        <bottom/>
      </border>
    </dxf>
    <dxf>
      <font>
        <b val="0"/>
        <i val="0"/>
        <strike val="0"/>
        <condense val="0"/>
        <extend val="0"/>
        <outline val="0"/>
        <shadow val="0"/>
        <u val="none"/>
        <vertAlign val="baseline"/>
        <sz val="11"/>
        <color auto="1"/>
        <name val="Calibri"/>
        <family val="2"/>
        <scheme val="minor"/>
      </font>
      <numFmt numFmtId="0" formatCode="General"/>
      <border diagonalUp="0" diagonalDown="0">
        <left/>
        <right style="thick">
          <color indexed="64"/>
        </right>
        <top/>
        <bottom/>
        <vertical/>
        <horizontal/>
      </border>
    </dxf>
    <dxf>
      <font>
        <b val="0"/>
        <i val="0"/>
        <strike val="0"/>
        <condense val="0"/>
        <extend val="0"/>
        <outline val="0"/>
        <shadow val="0"/>
        <u val="none"/>
        <vertAlign val="baseline"/>
        <sz val="11"/>
        <color auto="1"/>
        <name val="Calibri"/>
        <family val="2"/>
        <scheme val="minor"/>
      </font>
      <border diagonalUp="0" diagonalDown="0" outline="0">
        <left/>
        <right style="medium">
          <color indexed="64"/>
        </right>
        <top/>
        <bottom/>
      </border>
    </dxf>
    <dxf>
      <font>
        <b val="0"/>
        <i val="0"/>
        <strike val="0"/>
        <condense val="0"/>
        <extend val="0"/>
        <outline val="0"/>
        <shadow val="0"/>
        <u val="none"/>
        <vertAlign val="baseline"/>
        <sz val="11"/>
        <color auto="1"/>
        <name val="Calibri"/>
        <family val="2"/>
        <scheme val="minor"/>
      </font>
      <numFmt numFmtId="0" formatCode="General"/>
      <border diagonalUp="0" diagonalDown="0">
        <left/>
        <right style="medium">
          <color indexed="64"/>
        </right>
        <top/>
        <bottom/>
        <vertical/>
        <horizontal/>
      </border>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border diagonalUp="0" diagonalDown="0" outline="0">
        <left/>
        <right style="medium">
          <color indexed="64"/>
        </right>
        <top/>
        <bottom/>
      </border>
    </dxf>
    <dxf>
      <font>
        <b val="0"/>
        <i val="0"/>
        <strike val="0"/>
        <condense val="0"/>
        <extend val="0"/>
        <outline val="0"/>
        <shadow val="0"/>
        <u val="none"/>
        <vertAlign val="baseline"/>
        <sz val="11"/>
        <color auto="1"/>
        <name val="Calibri"/>
        <family val="2"/>
        <scheme val="minor"/>
      </font>
      <numFmt numFmtId="0" formatCode="General"/>
      <border diagonalUp="0" diagonalDown="0">
        <left/>
        <right style="medium">
          <color indexed="64"/>
        </right>
        <top/>
        <bottom/>
        <vertical/>
        <horizontal/>
      </border>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border diagonalUp="0" diagonalDown="0" outline="0">
        <left style="thin">
          <color indexed="64"/>
        </left>
        <right/>
        <top/>
        <bottom/>
      </border>
    </dxf>
    <dxf>
      <font>
        <b val="0"/>
        <i val="0"/>
        <strike val="0"/>
        <condense val="0"/>
        <extend val="0"/>
        <outline val="0"/>
        <shadow val="0"/>
        <u val="none"/>
        <vertAlign val="baseline"/>
        <sz val="11"/>
        <color auto="1"/>
        <name val="Calibri"/>
        <family val="2"/>
        <scheme val="minor"/>
      </font>
      <numFmt numFmtId="0" formatCode="General"/>
      <border diagonalUp="0" diagonalDown="0" outline="0">
        <left style="thin">
          <color indexed="64"/>
        </left>
        <right/>
        <top/>
        <bottom/>
      </border>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auto="1"/>
        <name val="Calibri"/>
        <family val="2"/>
        <scheme val="minor"/>
      </font>
      <numFmt numFmtId="0" formatCode="General"/>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0" formatCode="General"/>
    </dxf>
    <dxf>
      <font>
        <b val="0"/>
        <i val="0"/>
        <strike val="0"/>
        <condense val="0"/>
        <extend val="0"/>
        <outline val="0"/>
        <shadow val="0"/>
        <u val="none"/>
        <vertAlign val="baseline"/>
        <sz val="11"/>
        <color rgb="FF0000FF"/>
        <name val="Calibri"/>
        <family val="2"/>
        <scheme val="minor"/>
      </font>
    </dxf>
    <dxf>
      <font>
        <b val="0"/>
        <i val="0"/>
        <strike val="0"/>
        <condense val="0"/>
        <extend val="0"/>
        <outline val="0"/>
        <shadow val="0"/>
        <u val="none"/>
        <vertAlign val="baseline"/>
        <sz val="11"/>
        <color rgb="FF0000FF"/>
        <name val="Calibri"/>
        <family val="2"/>
        <scheme val="minor"/>
      </font>
    </dxf>
    <dxf>
      <font>
        <b val="0"/>
        <i val="0"/>
        <strike val="0"/>
        <condense val="0"/>
        <extend val="0"/>
        <outline val="0"/>
        <shadow val="0"/>
        <u val="none"/>
        <vertAlign val="baseline"/>
        <sz val="11"/>
        <color rgb="FF0000FF"/>
        <name val="Calibri"/>
        <family val="2"/>
        <scheme val="minor"/>
      </font>
    </dxf>
    <dxf>
      <font>
        <b val="0"/>
        <i val="0"/>
        <strike val="0"/>
        <condense val="0"/>
        <extend val="0"/>
        <outline val="0"/>
        <shadow val="0"/>
        <u val="none"/>
        <vertAlign val="baseline"/>
        <sz val="11"/>
        <color rgb="FF0000FF"/>
        <name val="Calibri"/>
        <family val="2"/>
        <scheme val="minor"/>
      </font>
    </dxf>
    <dxf>
      <font>
        <b val="0"/>
        <i val="0"/>
        <strike val="0"/>
        <condense val="0"/>
        <extend val="0"/>
        <outline val="0"/>
        <shadow val="0"/>
        <u val="none"/>
        <vertAlign val="baseline"/>
        <sz val="11"/>
        <color rgb="FF0000FF"/>
        <name val="Calibri"/>
        <family val="2"/>
        <scheme val="minor"/>
      </font>
    </dxf>
    <dxf>
      <font>
        <b val="0"/>
        <i val="0"/>
        <strike val="0"/>
        <condense val="0"/>
        <extend val="0"/>
        <outline val="0"/>
        <shadow val="0"/>
        <u val="none"/>
        <vertAlign val="baseline"/>
        <sz val="11"/>
        <color rgb="FF0000FF"/>
        <name val="Calibri"/>
        <family val="2"/>
        <scheme val="minor"/>
      </font>
    </dxf>
    <dxf>
      <font>
        <b/>
        <i val="0"/>
        <strike val="0"/>
        <condense val="0"/>
        <extend val="0"/>
        <outline val="0"/>
        <shadow val="0"/>
        <u val="none"/>
        <vertAlign val="baseline"/>
        <sz val="11"/>
        <color auto="1"/>
        <name val="Calibri"/>
        <family val="2"/>
        <scheme val="minor"/>
      </font>
      <alignment horizontal="general" vertical="bottom" textRotation="0" wrapText="1" indent="0" justifyLastLine="0" shrinkToFit="0" readingOrder="0"/>
    </dxf>
    <dxf>
      <font>
        <strike val="0"/>
        <outline val="0"/>
        <shadow val="0"/>
        <u val="none"/>
        <vertAlign val="baseline"/>
        <sz val="11"/>
        <color rgb="FF0000FF"/>
        <name val="Calibri"/>
        <family val="2"/>
        <scheme val="minor"/>
      </font>
      <numFmt numFmtId="30" formatCode="@"/>
      <alignment horizontal="general" vertical="center" textRotation="0" wrapText="0" indent="0" justifyLastLine="0" shrinkToFit="0" readingOrder="0"/>
    </dxf>
    <dxf>
      <font>
        <strike val="0"/>
        <outline val="0"/>
        <shadow val="0"/>
        <u val="none"/>
        <vertAlign val="baseline"/>
        <sz val="11"/>
        <color auto="1"/>
        <name val="Calibri"/>
        <family val="2"/>
        <scheme val="minor"/>
      </font>
      <numFmt numFmtId="0" formatCode="General"/>
      <alignment horizontal="general" vertical="center" textRotation="0" wrapText="0" indent="0" justifyLastLine="0" shrinkToFit="0" readingOrder="0"/>
    </dxf>
    <dxf>
      <font>
        <b val="0"/>
        <i val="0"/>
        <strike val="0"/>
        <condense val="0"/>
        <extend val="0"/>
        <outline val="0"/>
        <shadow val="0"/>
        <u val="none"/>
        <vertAlign val="baseline"/>
        <sz val="11"/>
        <color rgb="FFC00000"/>
        <name val="Calibri"/>
        <family val="2"/>
        <scheme val="minor"/>
      </font>
      <numFmt numFmtId="165" formatCode="_ [$€-413]* #,##0_ ;_ [$€-413]* \-#,##0_ ;_ [$€-413]* &quot; - &quot;_ ;_ @_ "/>
      <alignment horizontal="general"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alignment horizontal="general" vertical="center" textRotation="0" wrapText="0" indent="0" justifyLastLine="0" shrinkToFit="0" readingOrder="0"/>
    </dxf>
    <dxf>
      <font>
        <b val="0"/>
        <i val="0"/>
        <strike val="0"/>
        <condense val="0"/>
        <extend val="0"/>
        <outline val="0"/>
        <shadow val="0"/>
        <u val="none"/>
        <vertAlign val="baseline"/>
        <sz val="11"/>
        <color rgb="FF0000FF"/>
        <name val="Calibri"/>
        <family val="2"/>
        <scheme val="minor"/>
      </font>
      <numFmt numFmtId="0" formatCode="General"/>
      <alignment horizontal="general" vertical="center" textRotation="0" wrapText="0" indent="0" justifyLastLine="0" shrinkToFit="0" readingOrder="0"/>
    </dxf>
    <dxf>
      <font>
        <strike val="0"/>
        <outline val="0"/>
        <shadow val="0"/>
        <u val="none"/>
        <vertAlign val="baseline"/>
        <sz val="11"/>
        <color rgb="FF0000FF"/>
        <name val="Calibri"/>
        <family val="2"/>
        <scheme val="minor"/>
      </font>
      <numFmt numFmtId="30" formatCode="@"/>
      <alignment horizontal="general" vertical="center" textRotation="0" wrapText="0" indent="0" justifyLastLine="0" shrinkToFit="0" readingOrder="0"/>
    </dxf>
    <dxf>
      <font>
        <strike val="0"/>
        <outline val="0"/>
        <shadow val="0"/>
        <u val="none"/>
        <vertAlign val="baseline"/>
        <sz val="11"/>
        <color rgb="FF0000FF"/>
        <name val="Calibri"/>
        <family val="2"/>
        <scheme val="minor"/>
      </font>
      <numFmt numFmtId="30" formatCode="@"/>
      <alignment horizontal="general" vertical="center" textRotation="0" indent="0" justifyLastLine="0" shrinkToFit="0" readingOrder="0"/>
    </dxf>
    <dxf>
      <font>
        <strike val="0"/>
        <outline val="0"/>
        <shadow val="0"/>
        <u val="none"/>
        <vertAlign val="baseline"/>
        <sz val="11"/>
        <color rgb="FF0000FF"/>
        <name val="Calibri"/>
        <family val="2"/>
        <scheme val="minor"/>
      </font>
      <alignment horizontal="general" vertical="center" textRotation="0" indent="0" justifyLastLine="0" shrinkToFit="0" readingOrder="0"/>
    </dxf>
    <dxf>
      <font>
        <strike val="0"/>
        <outline val="0"/>
        <shadow val="0"/>
        <u val="none"/>
        <vertAlign val="baseline"/>
        <sz val="11"/>
        <color rgb="FF0000FF"/>
        <name val="Calibri"/>
        <family val="2"/>
        <scheme val="minor"/>
      </font>
      <alignment horizontal="general" vertical="center" textRotation="0" indent="0" justifyLastLine="0" shrinkToFit="0" readingOrder="0"/>
    </dxf>
    <dxf>
      <font>
        <b val="0"/>
        <i val="0"/>
        <strike val="0"/>
        <condense val="0"/>
        <extend val="0"/>
        <outline val="0"/>
        <shadow val="0"/>
        <u val="none"/>
        <vertAlign val="baseline"/>
        <sz val="10"/>
        <color rgb="FF0000FF"/>
        <name val="Arial"/>
        <family val="2"/>
        <scheme val="none"/>
      </font>
      <numFmt numFmtId="168" formatCode=";;;"/>
      <alignment horizontal="general" vertical="center" textRotation="0" wrapText="0" indent="0" justifyLastLine="0" shrinkToFit="0" readingOrder="0"/>
      <border diagonalUp="0" diagonalDown="0">
        <left/>
        <right/>
        <top style="thin">
          <color theme="0" tint="-0.14996795556505021"/>
        </top>
        <bottom style="thin">
          <color theme="0" tint="-0.14996795556505021"/>
        </bottom>
      </border>
    </dxf>
    <dxf>
      <font>
        <b/>
        <i val="0"/>
        <strike val="0"/>
        <condense val="0"/>
        <extend val="0"/>
        <outline val="0"/>
        <shadow val="0"/>
        <u val="none"/>
        <vertAlign val="baseline"/>
        <sz val="10"/>
        <color theme="4"/>
        <name val="Arial"/>
        <family val="2"/>
        <scheme val="none"/>
      </font>
      <alignment horizontal="general" vertical="center" textRotation="0" wrapText="0" indent="0" justifyLastLine="0" shrinkToFit="0" readingOrder="0"/>
      <border diagonalUp="0" diagonalDown="0" outline="0">
        <left/>
        <right/>
        <top style="thin">
          <color theme="0" tint="-0.14996795556505021"/>
        </top>
        <bottom style="thin">
          <color theme="0" tint="-0.14996795556505021"/>
        </bottom>
      </border>
    </dxf>
    <dxf>
      <font>
        <b/>
        <i val="0"/>
        <strike val="0"/>
        <condense val="0"/>
        <extend val="0"/>
        <outline val="0"/>
        <shadow val="0"/>
        <u val="none"/>
        <vertAlign val="baseline"/>
        <sz val="10"/>
        <color theme="4"/>
        <name val="Arial"/>
        <family val="2"/>
        <scheme val="none"/>
      </font>
      <alignment horizontal="general" vertical="center" textRotation="0" wrapText="0" indent="0" justifyLastLine="0" shrinkToFit="0" readingOrder="0"/>
      <border diagonalUp="0" diagonalDown="0" outline="0">
        <left/>
        <right/>
        <top style="thin">
          <color theme="0" tint="-0.14996795556505021"/>
        </top>
        <bottom style="thin">
          <color theme="0" tint="-0.14996795556505021"/>
        </bottom>
      </border>
    </dxf>
    <dxf>
      <font>
        <b/>
        <i val="0"/>
        <strike val="0"/>
        <condense val="0"/>
        <extend val="0"/>
        <outline val="0"/>
        <shadow val="0"/>
        <u val="none"/>
        <vertAlign val="baseline"/>
        <sz val="10"/>
        <color theme="4"/>
        <name val="Arial"/>
        <family val="2"/>
        <scheme val="none"/>
      </font>
      <alignment horizontal="general" vertical="center" textRotation="0" wrapText="0" indent="0" justifyLastLine="0" shrinkToFit="0" readingOrder="0"/>
      <border diagonalUp="0" diagonalDown="0" outline="0">
        <left/>
        <right/>
        <top style="thin">
          <color theme="0" tint="-0.14996795556505021"/>
        </top>
        <bottom style="thin">
          <color theme="0" tint="-0.14996795556505021"/>
        </bottom>
      </border>
    </dxf>
    <dxf>
      <font>
        <b/>
        <i val="0"/>
        <strike val="0"/>
        <condense val="0"/>
        <extend val="0"/>
        <outline val="0"/>
        <shadow val="0"/>
        <u val="none"/>
        <vertAlign val="baseline"/>
        <sz val="10"/>
        <color theme="4"/>
        <name val="Arial"/>
        <family val="2"/>
        <scheme val="none"/>
      </font>
      <alignment horizontal="general" vertical="center" textRotation="0" wrapText="0" indent="0" justifyLastLine="0" shrinkToFit="0" readingOrder="0"/>
      <border diagonalUp="0" diagonalDown="0" outline="0">
        <left/>
        <right/>
        <top style="thin">
          <color theme="0" tint="-0.14996795556505021"/>
        </top>
        <bottom style="thin">
          <color theme="0" tint="-0.14996795556505021"/>
        </bottom>
      </border>
    </dxf>
    <dxf>
      <font>
        <b/>
        <i val="0"/>
        <strike val="0"/>
        <condense val="0"/>
        <extend val="0"/>
        <outline val="0"/>
        <shadow val="0"/>
        <u val="none"/>
        <vertAlign val="baseline"/>
        <sz val="10"/>
        <color theme="4"/>
        <name val="Arial"/>
        <family val="2"/>
        <scheme val="none"/>
      </font>
      <alignment horizontal="general" vertical="center" textRotation="0" wrapText="0" indent="0" justifyLastLine="0" shrinkToFit="0" readingOrder="0"/>
      <border diagonalUp="0" diagonalDown="0" outline="0">
        <left/>
        <right/>
        <top style="thin">
          <color theme="0" tint="-0.14996795556505021"/>
        </top>
        <bottom style="thin">
          <color theme="0" tint="-0.14996795556505021"/>
        </bottom>
      </border>
    </dxf>
    <dxf>
      <font>
        <b/>
        <i val="0"/>
        <strike val="0"/>
        <condense val="0"/>
        <extend val="0"/>
        <outline val="0"/>
        <shadow val="0"/>
        <u val="none"/>
        <vertAlign val="baseline"/>
        <sz val="10"/>
        <color theme="4"/>
        <name val="Arial"/>
        <family val="2"/>
        <scheme val="none"/>
      </font>
      <alignment horizontal="general" vertical="center" textRotation="0" wrapText="0" indent="0" justifyLastLine="0" shrinkToFit="0" readingOrder="0"/>
      <border diagonalUp="0" diagonalDown="0" outline="0">
        <left/>
        <right/>
        <top style="thin">
          <color theme="0" tint="-0.14996795556505021"/>
        </top>
        <bottom style="thin">
          <color theme="0" tint="-0.14996795556505021"/>
        </bottom>
      </border>
    </dxf>
    <dxf>
      <font>
        <b/>
        <i val="0"/>
        <strike val="0"/>
        <condense val="0"/>
        <extend val="0"/>
        <outline val="0"/>
        <shadow val="0"/>
        <u val="none"/>
        <vertAlign val="baseline"/>
        <sz val="10"/>
        <color theme="4"/>
        <name val="Arial"/>
        <family val="2"/>
        <scheme val="none"/>
      </font>
      <alignment horizontal="general" vertical="center" textRotation="0" wrapText="0" indent="0" justifyLastLine="0" shrinkToFit="0" readingOrder="0"/>
      <border diagonalUp="0" diagonalDown="0" outline="0">
        <left/>
        <right/>
        <top style="thin">
          <color theme="0" tint="-0.14996795556505021"/>
        </top>
        <bottom style="thin">
          <color theme="0" tint="-0.14996795556505021"/>
        </bottom>
      </border>
    </dxf>
    <dxf>
      <font>
        <b/>
        <i val="0"/>
        <strike val="0"/>
        <condense val="0"/>
        <extend val="0"/>
        <outline val="0"/>
        <shadow val="0"/>
        <u val="none"/>
        <vertAlign val="baseline"/>
        <sz val="10"/>
        <color theme="4"/>
        <name val="Arial"/>
        <family val="2"/>
        <scheme val="none"/>
      </font>
      <alignment horizontal="general" vertical="center" textRotation="0" wrapText="0" indent="0" justifyLastLine="0" shrinkToFit="0" readingOrder="0"/>
      <border diagonalUp="0" diagonalDown="0" outline="0">
        <left/>
        <right/>
        <top style="thin">
          <color theme="0" tint="-0.14996795556505021"/>
        </top>
        <bottom style="thin">
          <color theme="0" tint="-0.14996795556505021"/>
        </bottom>
      </border>
    </dxf>
    <dxf>
      <font>
        <b/>
        <i val="0"/>
        <strike val="0"/>
        <condense val="0"/>
        <extend val="0"/>
        <outline val="0"/>
        <shadow val="0"/>
        <u val="none"/>
        <vertAlign val="baseline"/>
        <sz val="10"/>
        <color theme="4"/>
        <name val="Arial"/>
        <family val="2"/>
        <scheme val="none"/>
      </font>
      <alignment horizontal="general" vertical="center" textRotation="0" wrapText="0" indent="0" justifyLastLine="0" shrinkToFit="0" readingOrder="0"/>
      <border diagonalUp="0" diagonalDown="0" outline="0">
        <left/>
        <right/>
        <top style="thin">
          <color theme="0" tint="-0.14996795556505021"/>
        </top>
        <bottom style="thin">
          <color theme="0" tint="-0.14996795556505021"/>
        </bottom>
      </border>
    </dxf>
    <dxf>
      <font>
        <b/>
        <i val="0"/>
        <strike val="0"/>
        <condense val="0"/>
        <extend val="0"/>
        <outline val="0"/>
        <shadow val="0"/>
        <u val="none"/>
        <vertAlign val="baseline"/>
        <sz val="10"/>
        <color theme="4"/>
        <name val="Arial"/>
        <family val="2"/>
        <scheme val="none"/>
      </font>
      <alignment horizontal="general" vertical="center" textRotation="0" wrapText="0" indent="0" justifyLastLine="0" shrinkToFit="0" readingOrder="0"/>
      <border diagonalUp="0" diagonalDown="0" outline="0">
        <left/>
        <right/>
        <top style="thin">
          <color theme="0" tint="-0.14996795556505021"/>
        </top>
        <bottom style="thin">
          <color theme="0" tint="-0.14996795556505021"/>
        </bottom>
      </border>
    </dxf>
    <dxf>
      <font>
        <b/>
        <i val="0"/>
        <strike val="0"/>
        <condense val="0"/>
        <extend val="0"/>
        <outline val="0"/>
        <shadow val="0"/>
        <u val="none"/>
        <vertAlign val="baseline"/>
        <sz val="10"/>
        <color theme="4"/>
        <name val="Arial"/>
        <family val="2"/>
        <scheme val="none"/>
      </font>
      <numFmt numFmtId="0" formatCode="General"/>
      <alignment horizontal="general" vertical="center" textRotation="0" wrapText="0" indent="0" justifyLastLine="0" shrinkToFit="0" readingOrder="0"/>
      <border diagonalUp="0" diagonalDown="0">
        <left style="thin">
          <color theme="0" tint="-0.14999847407452621"/>
        </left>
        <right/>
        <top style="thin">
          <color theme="0" tint="-0.14996795556505021"/>
        </top>
        <bottom style="thin">
          <color theme="0" tint="-0.14996795556505021"/>
        </bottom>
        <vertical/>
        <horizontal/>
      </border>
    </dxf>
    <dxf>
      <font>
        <b val="0"/>
        <i val="0"/>
        <strike val="0"/>
        <condense val="0"/>
        <extend val="0"/>
        <outline val="0"/>
        <shadow val="0"/>
        <u val="none"/>
        <vertAlign val="baseline"/>
        <sz val="10"/>
        <color rgb="FFFF0000"/>
        <name val="Arial"/>
        <family val="2"/>
        <scheme val="none"/>
      </font>
      <numFmt numFmtId="168" formatCode=";;;"/>
      <alignment horizontal="general" vertical="center" textRotation="0" wrapText="0" indent="0" justifyLastLine="0" shrinkToFit="0" readingOrder="0"/>
      <border diagonalUp="0" diagonalDown="0">
        <left/>
        <right style="thin">
          <color theme="0" tint="-0.14999847407452621"/>
        </right>
        <top/>
        <bottom style="thin">
          <color theme="0" tint="-0.14999847407452621"/>
        </bottom>
        <vertical/>
        <horizontal/>
      </border>
    </dxf>
    <dxf>
      <alignment horizontal="general" vertical="center" textRotation="0" wrapText="0" indent="0" justifyLastLine="0" shrinkToFit="0" readingOrder="0"/>
      <border diagonalUp="0" diagonalDown="0" outline="0">
        <left/>
        <right/>
        <top style="thin">
          <color theme="0" tint="-0.14999847407452621"/>
        </top>
        <bottom style="thin">
          <color theme="0" tint="-0.14999847407452621"/>
        </bottom>
      </border>
    </dxf>
    <dxf>
      <alignment horizontal="general" vertical="center" textRotation="0" wrapText="0" indent="0" justifyLastLine="0" shrinkToFit="0" readingOrder="0"/>
      <border diagonalUp="0" diagonalDown="0" outline="0">
        <left/>
        <right/>
        <top style="thin">
          <color theme="0" tint="-0.14999847407452621"/>
        </top>
        <bottom style="thin">
          <color theme="0" tint="-0.14999847407452621"/>
        </bottom>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0"/>
        <color theme="4"/>
        <name val="Arial"/>
        <family val="2"/>
        <scheme val="none"/>
      </font>
      <alignment horizontal="general"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0"/>
        <color theme="1"/>
        <name val="Arial"/>
        <family val="2"/>
        <scheme val="none"/>
      </font>
      <numFmt numFmtId="168" formatCode=";;;"/>
      <fill>
        <patternFill patternType="solid">
          <fgColor indexed="64"/>
          <bgColor theme="7" tint="0.79998168889431442"/>
        </patternFill>
      </fill>
      <alignment horizontal="general" vertical="center" textRotation="0" wrapText="0" indent="0" justifyLastLine="0" shrinkToFit="0" readingOrder="0"/>
    </dxf>
    <dxf>
      <numFmt numFmtId="0" formatCode="General"/>
      <fill>
        <patternFill patternType="solid">
          <fgColor indexed="64"/>
          <bgColor rgb="FFFFFF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sz val="11"/>
        <name val="Calibri"/>
        <family val="2"/>
        <scheme val="minor"/>
      </font>
      <numFmt numFmtId="0" formatCode="General"/>
      <fill>
        <patternFill patternType="none">
          <fgColor indexed="64"/>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rgb="FF0000FF"/>
        <name val="Calibri"/>
        <family val="2"/>
        <scheme val="minor"/>
      </font>
      <border diagonalUp="0" diagonalDown="0" outline="0">
        <left/>
        <right/>
        <top style="thin">
          <color theme="4" tint="0.39997558519241921"/>
        </top>
        <bottom style="thin">
          <color theme="4" tint="0.39997558519241921"/>
        </bottom>
      </border>
    </dxf>
    <dxf>
      <border outline="0">
        <left style="thin">
          <color theme="4" tint="0.39997558519241921"/>
        </left>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dxf>
  </dxfs>
  <tableStyles count="0" defaultTableStyle="TableStyleMedium2" defaultPivotStyle="PivotStyleLight16"/>
  <colors>
    <mruColors>
      <color rgb="FFCFCFFF"/>
      <color rgb="FF0000FF"/>
      <color rgb="FFCCFF33"/>
      <color rgb="FFEBEBEB"/>
      <color rgb="FFE1E1E1"/>
      <color rgb="FFE6E6E6"/>
      <color rgb="FFFFFAEB"/>
      <color rgb="FFE4FFFE"/>
      <color rgb="FFFFF3EB"/>
      <color rgb="FFFFF1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hyperlink" Target="mailto:toeslag@hollandhightech.nl?subject=[TKI%20HTSM]%20Betreft:%20Detailbegroting" TargetMode="External"/><Relationship Id="rId2" Type="http://schemas.openxmlformats.org/officeDocument/2006/relationships/hyperlink" Target="https://portal.hollandhightech.n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1669675</xdr:colOff>
      <xdr:row>37</xdr:row>
      <xdr:rowOff>156881</xdr:rowOff>
    </xdr:from>
    <xdr:to>
      <xdr:col>6</xdr:col>
      <xdr:colOff>19181</xdr:colOff>
      <xdr:row>48</xdr:row>
      <xdr:rowOff>130453</xdr:rowOff>
    </xdr:to>
    <xdr:pic>
      <xdr:nvPicPr>
        <xdr:cNvPr id="9" name="Picture 8">
          <a:extLst>
            <a:ext uri="{FF2B5EF4-FFF2-40B4-BE49-F238E27FC236}">
              <a16:creationId xmlns:a16="http://schemas.microsoft.com/office/drawing/2014/main" id="{C559F1AD-CFF7-9E02-D834-F72017A7649F}"/>
            </a:ext>
          </a:extLst>
        </xdr:cNvPr>
        <xdr:cNvPicPr>
          <a:picLocks noChangeAspect="1"/>
        </xdr:cNvPicPr>
      </xdr:nvPicPr>
      <xdr:blipFill>
        <a:blip xmlns:r="http://schemas.openxmlformats.org/officeDocument/2006/relationships" r:embed="rId1"/>
        <a:stretch>
          <a:fillRect/>
        </a:stretch>
      </xdr:blipFill>
      <xdr:spPr>
        <a:xfrm>
          <a:off x="1669675" y="9547410"/>
          <a:ext cx="10720800" cy="2040311"/>
        </a:xfrm>
        <a:prstGeom prst="rect">
          <a:avLst/>
        </a:prstGeom>
      </xdr:spPr>
    </xdr:pic>
    <xdr:clientData/>
  </xdr:twoCellAnchor>
  <xdr:twoCellAnchor editAs="oneCell">
    <xdr:from>
      <xdr:col>4</xdr:col>
      <xdr:colOff>0</xdr:colOff>
      <xdr:row>30</xdr:row>
      <xdr:rowOff>0</xdr:rowOff>
    </xdr:from>
    <xdr:to>
      <xdr:col>5</xdr:col>
      <xdr:colOff>372970</xdr:colOff>
      <xdr:row>31</xdr:row>
      <xdr:rowOff>4375</xdr:rowOff>
    </xdr:to>
    <xdr:sp macro="" textlink="">
      <xdr:nvSpPr>
        <xdr:cNvPr id="5" name="Flowchart: Terminator 4">
          <a:hlinkClick xmlns:r="http://schemas.openxmlformats.org/officeDocument/2006/relationships" r:id="rId2"/>
          <a:extLst>
            <a:ext uri="{FF2B5EF4-FFF2-40B4-BE49-F238E27FC236}">
              <a16:creationId xmlns:a16="http://schemas.microsoft.com/office/drawing/2014/main" id="{C066128C-3799-4F62-BB9B-862FC0912A62}"/>
            </a:ext>
          </a:extLst>
        </xdr:cNvPr>
        <xdr:cNvSpPr>
          <a:spLocks noChangeAspect="1"/>
        </xdr:cNvSpPr>
      </xdr:nvSpPr>
      <xdr:spPr>
        <a:xfrm>
          <a:off x="9144000" y="6376147"/>
          <a:ext cx="2423646" cy="766375"/>
        </a:xfrm>
        <a:prstGeom prst="flowChartTerminator">
          <a:avLst/>
        </a:prstGeom>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200" b="1">
              <a:latin typeface="Arial" panose="020B0604020202020204" pitchFamily="34" charset="0"/>
              <a:cs typeface="Arial" panose="020B0604020202020204" pitchFamily="34" charset="0"/>
            </a:rPr>
            <a:t>Holland High Tech Portal</a:t>
          </a:r>
        </a:p>
      </xdr:txBody>
    </xdr:sp>
    <xdr:clientData/>
  </xdr:twoCellAnchor>
  <xdr:oneCellAnchor>
    <xdr:from>
      <xdr:col>4</xdr:col>
      <xdr:colOff>0</xdr:colOff>
      <xdr:row>35</xdr:row>
      <xdr:rowOff>0</xdr:rowOff>
    </xdr:from>
    <xdr:ext cx="2423646" cy="766375"/>
    <xdr:sp macro="" textlink="">
      <xdr:nvSpPr>
        <xdr:cNvPr id="2" name="Flowchart: Terminator 1">
          <a:hlinkClick xmlns:r="http://schemas.openxmlformats.org/officeDocument/2006/relationships" r:id="rId3"/>
          <a:extLst>
            <a:ext uri="{FF2B5EF4-FFF2-40B4-BE49-F238E27FC236}">
              <a16:creationId xmlns:a16="http://schemas.microsoft.com/office/drawing/2014/main" id="{3FC2DA4E-6B71-48C7-A60B-0979A6F365FC}"/>
            </a:ext>
          </a:extLst>
        </xdr:cNvPr>
        <xdr:cNvSpPr>
          <a:spLocks noChangeAspect="1"/>
        </xdr:cNvSpPr>
      </xdr:nvSpPr>
      <xdr:spPr>
        <a:xfrm>
          <a:off x="9144000" y="10567147"/>
          <a:ext cx="2423646" cy="766375"/>
        </a:xfrm>
        <a:prstGeom prst="flowChartTerminator">
          <a:avLst/>
        </a:prstGeom>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200" b="1">
              <a:latin typeface="Arial" panose="020B0604020202020204" pitchFamily="34" charset="0"/>
              <a:cs typeface="Arial" panose="020B0604020202020204" pitchFamily="34" charset="0"/>
            </a:rPr>
            <a:t>Contacteer TKI HTSM</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3473823</xdr:colOff>
      <xdr:row>38</xdr:row>
      <xdr:rowOff>78442</xdr:rowOff>
    </xdr:from>
    <xdr:to>
      <xdr:col>2</xdr:col>
      <xdr:colOff>3193676</xdr:colOff>
      <xdr:row>46</xdr:row>
      <xdr:rowOff>89648</xdr:rowOff>
    </xdr:to>
    <xdr:sp macro="" textlink="">
      <xdr:nvSpPr>
        <xdr:cNvPr id="2" name="Rectangle: Rounded Corners 1">
          <a:extLst>
            <a:ext uri="{FF2B5EF4-FFF2-40B4-BE49-F238E27FC236}">
              <a16:creationId xmlns:a16="http://schemas.microsoft.com/office/drawing/2014/main" id="{AB289C4B-0E51-6754-F8B9-712686768AC0}"/>
            </a:ext>
          </a:extLst>
        </xdr:cNvPr>
        <xdr:cNvSpPr/>
      </xdr:nvSpPr>
      <xdr:spPr>
        <a:xfrm>
          <a:off x="4325470" y="18556942"/>
          <a:ext cx="3765177" cy="1916206"/>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2000" kern="1200"/>
            <a:t>EO, 20250123: Foutmelding treedt op als één van de checks</a:t>
          </a:r>
          <a:r>
            <a:rPr lang="nl-NL" sz="2000" kern="1200" baseline="0"/>
            <a:t> in tab 'LuT Deelnemers' kolom 'Check &lt;Nr.&gt;' </a:t>
          </a:r>
          <a:r>
            <a:rPr lang="nl-NL" sz="2000" b="1" u="sng" kern="1200" baseline="0"/>
            <a:t>niet</a:t>
          </a:r>
          <a:r>
            <a:rPr lang="nl-NL" sz="2000" kern="1200" baseline="0"/>
            <a:t> TRUE is!</a:t>
          </a:r>
        </a:p>
        <a:p>
          <a:pPr algn="l"/>
          <a:r>
            <a:rPr lang="nl-NL" sz="2000" kern="1200" baseline="0"/>
            <a:t>Dus hele kolom TRUE is OK!</a:t>
          </a:r>
          <a:endParaRPr lang="nl-NL" sz="20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44</xdr:col>
      <xdr:colOff>0</xdr:colOff>
      <xdr:row>21</xdr:row>
      <xdr:rowOff>190498</xdr:rowOff>
    </xdr:from>
    <xdr:to>
      <xdr:col>53</xdr:col>
      <xdr:colOff>179295</xdr:colOff>
      <xdr:row>32</xdr:row>
      <xdr:rowOff>10198</xdr:rowOff>
    </xdr:to>
    <xdr:sp macro="" textlink="">
      <xdr:nvSpPr>
        <xdr:cNvPr id="2" name="Rectangle: Rounded Corners 1">
          <a:extLst>
            <a:ext uri="{FF2B5EF4-FFF2-40B4-BE49-F238E27FC236}">
              <a16:creationId xmlns:a16="http://schemas.microsoft.com/office/drawing/2014/main" id="{99D7C7D1-A6A6-445A-9FDB-82B294EE5C7A}"/>
            </a:ext>
          </a:extLst>
        </xdr:cNvPr>
        <xdr:cNvSpPr/>
      </xdr:nvSpPr>
      <xdr:spPr>
        <a:xfrm>
          <a:off x="28025912" y="5714998"/>
          <a:ext cx="3765177" cy="19152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2000" kern="1200"/>
            <a:t>EO, 20250123: Foutmelding treedt op als één van de checks</a:t>
          </a:r>
          <a:r>
            <a:rPr lang="nl-NL" sz="2000" kern="1200" baseline="0"/>
            <a:t> in tab 'LuT Deelnemers' kolom 'Check &lt;Nr.&gt;' </a:t>
          </a:r>
          <a:r>
            <a:rPr lang="nl-NL" sz="2000" b="1" u="sng" kern="1200" baseline="0"/>
            <a:t>niet</a:t>
          </a:r>
          <a:r>
            <a:rPr lang="nl-NL" sz="2000" kern="1200" baseline="0"/>
            <a:t> TRUE is!</a:t>
          </a:r>
        </a:p>
        <a:p>
          <a:pPr algn="l"/>
          <a:r>
            <a:rPr lang="nl-NL" sz="2000" kern="1200" baseline="0"/>
            <a:t>Dus hele kolom TRUE is OK!</a:t>
          </a:r>
          <a:endParaRPr lang="nl-NL" sz="20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1456765</xdr:colOff>
      <xdr:row>62</xdr:row>
      <xdr:rowOff>56030</xdr:rowOff>
    </xdr:from>
    <xdr:to>
      <xdr:col>9</xdr:col>
      <xdr:colOff>212912</xdr:colOff>
      <xdr:row>74</xdr:row>
      <xdr:rowOff>44824</xdr:rowOff>
    </xdr:to>
    <xdr:sp macro="" textlink="">
      <xdr:nvSpPr>
        <xdr:cNvPr id="2" name="Rectangle: Rounded Corners 1">
          <a:extLst>
            <a:ext uri="{FF2B5EF4-FFF2-40B4-BE49-F238E27FC236}">
              <a16:creationId xmlns:a16="http://schemas.microsoft.com/office/drawing/2014/main" id="{7DEC1DD8-8FA9-4498-B352-F38B0608EE79}"/>
            </a:ext>
          </a:extLst>
        </xdr:cNvPr>
        <xdr:cNvSpPr/>
      </xdr:nvSpPr>
      <xdr:spPr>
        <a:xfrm>
          <a:off x="5065059" y="6533030"/>
          <a:ext cx="5681382" cy="2274794"/>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800" b="1"/>
            <a:t>EO, 20250113: Dit is een samenvattingssheet!</a:t>
          </a:r>
          <a:r>
            <a:rPr lang="nl-NL" sz="1800" b="1" baseline="0"/>
            <a:t> Dus hier niets uitrekenen!</a:t>
          </a:r>
        </a:p>
        <a:p>
          <a:pPr algn="l"/>
          <a:endParaRPr lang="nl-NL" sz="1800" baseline="0"/>
        </a:p>
        <a:p>
          <a:pPr algn="l"/>
          <a:r>
            <a:rPr lang="nl-NL" sz="1800"/>
            <a:t>EO, 20240429: Waarden die niet verdeeld zijn over FO | IO | EO worden genoteerd</a:t>
          </a:r>
          <a:r>
            <a:rPr lang="nl-NL" sz="1800" baseline="0"/>
            <a:t> bij FO, zoals bv. Cash Bijdrage.</a:t>
          </a:r>
          <a:endParaRPr lang="nl-NL" sz="18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D988B5D-028A-4336-ADF3-B23AD186915D}" name="Table_Begrotingen_SF" displayName="Table_Begrotingen_SF" ref="A1:S21" totalsRowShown="0" headerRowDxfId="410" tableBorderDxfId="409" headerRowCellStyle="Normal 3" dataCellStyle="Normal 3">
  <autoFilter ref="A1:S21" xr:uid="{8D988B5D-028A-4336-ADF3-B23AD186915D}"/>
  <tableColumns count="19">
    <tableColumn id="1" xr3:uid="{33CD972B-4A7D-40FA-8F97-5C82F675BF29}" name="ID Deelnemer" dataDxfId="408" dataCellStyle="Normal 3"/>
    <tableColumn id="2" xr3:uid="{15853072-95FF-4E52-9C13-7F3A1C5C9CD2}" name="Deelnemer_opgegeven_in_Aanvraag__c" dataDxfId="407" dataCellStyle="Normal 3">
      <calculatedColumnFormula>_xlfn.XLOOKUP($A2,Table_LuT_Deelnemers[ID Deelnemer],Table_LuT_Deelnemers[Naam Organisatie],"",0,1)</calculatedColumnFormula>
    </tableColumn>
    <tableColumn id="3" xr3:uid="{0FC6FB9E-6D97-45B0-AD9F-76CA8788367D}" name="Buitenland__c" dataDxfId="406" dataCellStyle="Normal 3">
      <calculatedColumnFormula>IF(Table_Begrotingen_SF[[#This Row],[Deelnemer_opgegeven_in_Aanvraag__c]]="","",_xlfn.XLOOKUP($A2,Table_LuT_Deelnemers[ID Deelnemer],Table_LuT_Deelnemers[Is Buitenlandse Organisatie],"",0,1))</calculatedColumnFormula>
    </tableColumn>
    <tableColumn id="4" xr3:uid="{878BAB88-4824-4427-B908-6643A6AE0F06}" name="Land__c" dataDxfId="405" dataCellStyle="Normal 3">
      <calculatedColumnFormula>IF(Table_Begrotingen_SF[[#This Row],[Deelnemer_opgegeven_in_Aanvraag__c]]="","",_xlfn.XLOOKUP($A2,Table_LuT_Deelnemers[ID Deelnemer],Table_LuT_Deelnemers[Land Organisatie '[indien buitenlands']],"",0,1))</calculatedColumnFormula>
    </tableColumn>
    <tableColumn id="5" xr3:uid="{259EEF46-DFAA-4624-9377-CFAEAA6DEA6D}" name="KVK_nummer__c" dataDxfId="404" dataCellStyle="Normal 3">
      <calculatedColumnFormula>IF(Table_Begrotingen_SF[[#This Row],[Deelnemer_opgegeven_in_Aanvraag__c]]="","",_xlfn.XLOOKUP($A2,Table_LuT_Deelnemers[ID Deelnemer],Table_LuT_Deelnemers[KVK-nummer],"",0,1))</calculatedColumnFormula>
    </tableColumn>
    <tableColumn id="6" xr3:uid="{E82058C9-EB9E-4105-BAAE-245AB4173775}" name="Website_deelnemer__c" dataDxfId="403" dataCellStyle="Normal 3">
      <calculatedColumnFormula>IF(Table_Begrotingen_SF[[#This Row],[Deelnemer_opgegeven_in_Aanvraag__c]]="","",_xlfn.XLOOKUP($A2,Table_LuT_Deelnemers[ID Deelnemer],Table_LuT_Deelnemers[Website Organisatie],"",0,1))</calculatedColumnFormula>
    </tableColumn>
    <tableColumn id="7" xr3:uid="{A326BD88-9C34-4566-9963-B7EB96375820}" name="Type_Deelnemer_opgegeven_in_Aanvraag__c" dataDxfId="402" dataCellStyle="Normal 3">
      <calculatedColumnFormula>IF(Table_Begrotingen_SF[[#This Row],[Deelnemer_opgegeven_in_Aanvraag__c]]="","",_xlfn.XLOOKUP($A2,Table_LuT_Deelnemers[ID Deelnemer],Table_LuT_Deelnemers[Type Organisatie],"",0,1))</calculatedColumnFormula>
    </tableColumn>
    <tableColumn id="8" xr3:uid="{8E578A34-B7EA-4707-BED7-C4B7E8AFD2B5}" name="Vestiging_in_Nederland__c" dataDxfId="401" dataCellStyle="Normal 3">
      <calculatedColumnFormula>IF(Table_Begrotingen_SF[[#This Row],[Deelnemer_opgegeven_in_Aanvraag__c]]="","",_xlfn.XLOOKUP($A2,Table_LuT_Deelnemers[ID Deelnemer],Table_LuT_Deelnemers[Vestiging in Nederland],"",0,1))</calculatedColumnFormula>
    </tableColumn>
    <tableColumn id="9" xr3:uid="{E0103B11-63E6-43B9-8727-8EDCC4CF9F70}" name="Kosten_FO__c" dataDxfId="400" dataCellStyle="Normal 3">
      <calculatedColumnFormula>_xlfn.LET(_xlpm.Var_Bedrag,_xlfn.XLOOKUP($A2,Table_LuT_Deelnemers[ID Deelnemer],Table_LuT_Deelnemers[Kosten FO],"",0,1),IF(_xlpm.Var_Bedrag=0,"",_xlpm.Var_Bedrag))</calculatedColumnFormula>
    </tableColumn>
    <tableColumn id="10" xr3:uid="{6110D852-99EA-496B-999D-2E26C55633CF}" name="Kosten_IO__c" dataDxfId="399" dataCellStyle="Normal 3">
      <calculatedColumnFormula>_xlfn.LET(_xlpm.Var_Bedrag,_xlfn.XLOOKUP($A2,Table_LuT_Deelnemers[ID Deelnemer],Table_LuT_Deelnemers[Kosten IO],"",0,1),IF(_xlpm.Var_Bedrag=0,"",_xlpm.Var_Bedrag))</calculatedColumnFormula>
    </tableColumn>
    <tableColumn id="11" xr3:uid="{5FB3BDC7-BEE5-46E3-B9BC-58D9322A84DA}" name="Kosten_EO__c" dataDxfId="398" dataCellStyle="Normal 3">
      <calculatedColumnFormula>_xlfn.LET(_xlpm.Var_Bedrag,_xlfn.XLOOKUP($A2,Table_LuT_Deelnemers[ID Deelnemer],Table_LuT_Deelnemers[Kosten EO],"",0,1),IF(_xlpm.Var_Bedrag=0,"",_xlpm.Var_Bedrag))</calculatedColumnFormula>
    </tableColumn>
    <tableColumn id="12" xr3:uid="{69AB249A-968B-4213-AED2-8E3C5E3F8282}" name="Kosten_Apparatuur_etc__c" dataDxfId="397" dataCellStyle="Normal 3">
      <calculatedColumnFormula>_xlfn.LET(_xlpm.Var_Bedrag,_xlfn.XLOOKUP($A2,Table_LuT_Deelnemers[ID Deelnemer],Table_LuT_Deelnemers[Kosten Apparatuur],"",0,1),IF(_xlpm.Var_Bedrag=0,"",_xlpm.Var_Bedrag))</calculatedColumnFormula>
    </tableColumn>
    <tableColumn id="13" xr3:uid="{CA4EADB8-E331-4C9A-890A-FE63C33445FC}" name="Bijdrage_Cash__c" dataDxfId="396" dataCellStyle="Normal 3">
      <calculatedColumnFormula>_xlfn.LET(_xlpm.Var_Bedrag,_xlfn.XLOOKUP($A2,Table_LuT_Deelnemers[ID Deelnemer],Table_LuT_Deelnemers[Cash Bijdrage],"",0,1),IF(_xlpm.Var_Bedrag=0,"",_xlpm.Var_Bedrag))</calculatedColumnFormula>
    </tableColumn>
    <tableColumn id="14" xr3:uid="{798E9E79-8583-4134-8B52-A2DA5B6F675C}" name="Cash_ontvangen__c" dataDxfId="395" dataCellStyle="Normal 3">
      <calculatedColumnFormula>_xlfn.LET(_xlpm.Var_Bedrag,_xlfn.XLOOKUP($A2,Table_LuT_Deelnemers[ID Deelnemer],Table_LuT_Deelnemers[Cash Ontvangen],"",0,1),IF(_xlpm.Var_Bedrag=0,"",_xlpm.Var_Bedrag))</calculatedColumnFormula>
    </tableColumn>
    <tableColumn id="15" xr3:uid="{6C0B2B32-BF74-48BF-AA86-1AA103EFEF8F}" name="Bijdrage_In_kind__c" dataDxfId="394" dataCellStyle="Normal 3">
      <calculatedColumnFormula>_xlfn.LET(_xlpm.Var_Bedrag,_xlfn.XLOOKUP($A2,Table_LuT_Deelnemers[ID Deelnemer],Table_LuT_Deelnemers[In-kind Bijdrage],"",0,1),IF(_xlpm.Var_Bedrag=0,"",_xlpm.Var_Bedrag))</calculatedColumnFormula>
    </tableColumn>
    <tableColumn id="16" xr3:uid="{8B211200-3444-421B-9E2F-D464751F3925}" name="Overige_Subsidies__c" dataDxfId="393" dataCellStyle="Normal 3">
      <calculatedColumnFormula>_xlfn.LET(_xlpm.Var_Bedrag,_xlfn.XLOOKUP($A2,Table_LuT_Deelnemers[ID Deelnemer],Table_LuT_Deelnemers[Overige Subsidies],"",0,1),IF(_xlpm.Var_Bedrag=0,"",_xlpm.Var_Bedrag))</calculatedColumnFormula>
    </tableColumn>
    <tableColumn id="17" xr3:uid="{2B915FB2-61A8-461D-9CB6-23C2095627DE}" name="Subsidie_FO_Gevraagd__c" dataDxfId="392" dataCellStyle="Normal 3">
      <calculatedColumnFormula>_xlfn.LET(_xlpm.Var_Bedrag,_xlfn.XLOOKUP($A2,Table_LuT_Deelnemers[ID Deelnemer],Table_LuT_Deelnemers[Gevraagde Subsidie FO],"",0,1),IF(_xlpm.Var_Bedrag=0,"",_xlpm.Var_Bedrag))</calculatedColumnFormula>
    </tableColumn>
    <tableColumn id="18" xr3:uid="{3B9E9FA8-4022-447C-9C03-2F0A9460AEF5}" name="Subsidie_IO_Gevraagd__c" dataDxfId="391" dataCellStyle="Normal 3">
      <calculatedColumnFormula>_xlfn.LET(_xlpm.Var_Bedrag,_xlfn.XLOOKUP($A2,Table_LuT_Deelnemers[ID Deelnemer],Table_LuT_Deelnemers[Gevraagde Subsidie IO],"",0,1),IF(_xlpm.Var_Bedrag=0,"",_xlpm.Var_Bedrag))</calculatedColumnFormula>
    </tableColumn>
    <tableColumn id="19" xr3:uid="{E7BFD233-90A3-4E08-BEBA-01DDD75FB8FB}" name="Subsidie_EO_Gevraagd__c" dataDxfId="390" dataCellStyle="Normal 3">
      <calculatedColumnFormula>_xlfn.LET(_xlpm.Var_Bedrag,_xlfn.XLOOKUP($A2,Table_LuT_Deelnemers[ID Deelnemer],Table_LuT_Deelnemers[Gevraagde Subsidie EO],"",0,1),IF(_xlpm.Var_Bedrag=0,"",_xlpm.Var_Bedrag))</calculatedColumnFormula>
    </tableColumn>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41D5B5B-4C76-4ECF-B814-08ABF178BC09}" name="Table_Min_Cash_CoF_Overheid" displayName="Table_Min_Cash_CoF_Overheid" ref="N24:R26" totalsRowShown="0" headerRowDxfId="21" dataDxfId="20">
  <tableColumns count="5">
    <tableColumn id="6" xr3:uid="{897D1E6A-41E7-466B-9FE1-CF180C40089C}" name="Subsidieregeling" dataDxfId="19"/>
    <tableColumn id="1" xr3:uid="{74ED0691-C51C-467A-8E7D-2939D2CD861C}" name="Minimale 'private bijdragen (co-funding) in cash'-percentages _x000a_door PPs van kosten OOs minus maximale subsidie OOs" dataDxfId="18"/>
    <tableColumn id="2" xr3:uid="{026A2BD3-94E0-4EE0-9FCF-73F229810ADB}" name="FO" dataDxfId="17"/>
    <tableColumn id="3" xr3:uid="{7820613C-0494-47AC-B2FB-B7A8CBDA9382}" name="IO" dataDxfId="16"/>
    <tableColumn id="4" xr3:uid="{6C2AF5B7-24FF-4EF2-BD91-739E1B2C4E09}" name="EO" dataDxfId="15"/>
  </tableColumns>
  <tableStyleInfo name="TableStyleMedium4"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07DE113-524C-4CF1-9042-64D6DC6A6F59}" name="Table_Sub.reg._Sub.instr." displayName="Table_Sub.reg._Sub.instr." ref="C50:F56" totalsRowShown="0" headerRowDxfId="14" dataDxfId="13">
  <tableColumns count="4">
    <tableColumn id="1" xr3:uid="{8011E2DE-0971-4CC6-91DD-6249CFFFAA84}" name="Sub.instr." dataDxfId="12"/>
    <tableColumn id="6" xr3:uid="{0899B1E1-A89D-49F7-8B71-380CE74E9934}" name="Subsidie-instrument" dataDxfId="11"/>
    <tableColumn id="2" xr3:uid="{5F555892-49D3-4E40-A7A6-507AEEAA3998}" name="Subsidieregeling" dataDxfId="10"/>
    <tableColumn id="3" xr3:uid="{4F599EC2-CEE1-421A-A6C0-32C9E518F170}" name="Sub.reg." dataDxfId="9"/>
  </tableColumns>
  <tableStyleInfo name="TableStyleMedium3"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B7C9B86-EC5F-4BAF-86B6-EC16E61D128B}" name="Table_Val_List_Type_Org" displayName="Table_Val_List_Type_Org" ref="A1:B12" totalsRowShown="0" headerRowDxfId="8" dataDxfId="7">
  <autoFilter ref="A1:B12" xr:uid="{2B7C9B86-EC5F-4BAF-86B6-EC16E61D128B}"/>
  <tableColumns count="2">
    <tableColumn id="1" xr3:uid="{7D6F0ABE-439F-47F7-87A5-F92EF1D00C92}" name="Type Organisatie" dataDxfId="6"/>
    <tableColumn id="2" xr3:uid="{BB56993A-E19B-470B-95EE-065B06621FB2}" name="TO" dataDxfId="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12BF10F-3F63-4CD7-BBFD-22AFEE8F33E2}" name="Table_Portal_Checks" displayName="Table_Portal_Checks" ref="A1:D6" totalsRowShown="0">
  <autoFilter ref="A1:D6" xr:uid="{76850305-C134-423E-8CB0-A628A77BE7FC}"/>
  <tableColumns count="4">
    <tableColumn id="1" xr3:uid="{71725377-225D-4E51-B4CC-4445A9B1BA08}" name="Check"/>
    <tableColumn id="2" xr3:uid="{90212712-6C90-415F-8D36-25BAF8B0D6A1}" name="Passed" dataDxfId="389">
      <calculatedColumnFormula>Result_Check_999</calculatedColumnFormula>
    </tableColumn>
    <tableColumn id="4" xr3:uid="{11064315-5FEE-4534-B4AF-4828C48B59B8}" name="Data"/>
    <tableColumn id="3" xr3:uid="{AF10FA4E-EB17-4399-AB5A-DCB15EDDE0F6}" name="Message"/>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11E38A3-D0DF-474F-9829-D4144ABA020A}" name="Table_Checks_Begroting_Kosten_Financiering" displayName="Table_Checks_Begroting_Kosten_Financiering" ref="A34:O56" totalsRowShown="0" headerRowDxfId="388" dataDxfId="386" headerRowBorderDxfId="387" tableBorderDxfId="385">
  <tableColumns count="15">
    <tableColumn id="1" xr3:uid="{6BF299CC-1C90-4EA6-8571-C6B3892A6088}" name="Checks" dataDxfId="384"/>
    <tableColumn id="2" xr3:uid="{D233104F-C55A-4A5E-9DAB-CD872CB493D8}" name="Column1" dataDxfId="383"/>
    <tableColumn id="3" xr3:uid="{B49DC93D-8134-4DD7-8A23-22E44E5C3C25}" name="Check Value" dataDxfId="382">
      <calculatedColumnFormula array="1">INDIRECT("Result_Check_"&amp;RIGHT(Table_Checks_Begroting_Kosten_Financiering[[#This Row],[Error Number]],3))</calculatedColumnFormula>
    </tableColumn>
    <tableColumn id="4" xr3:uid="{F3739397-97B4-42A4-9543-0E08CEB3A92A}" name="Foutmelding" dataDxfId="381">
      <calculatedColumnFormula array="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calculatedColumnFormula>
    </tableColumn>
    <tableColumn id="5" xr3:uid="{F7F19CE7-041E-4F48-BD31-D77B311BFF5A}" name="Column2" dataDxfId="380"/>
    <tableColumn id="6" xr3:uid="{E440D0BA-F150-45FC-86D7-FA6119B796E3}" name="Column3" dataDxfId="379"/>
    <tableColumn id="7" xr3:uid="{EB31F246-7243-49B6-BB49-D869A61B2B00}" name="Column4" dataDxfId="378"/>
    <tableColumn id="8" xr3:uid="{61FEC3EB-8B05-44DC-A0DB-879520E660E1}" name="Column5" dataDxfId="377"/>
    <tableColumn id="9" xr3:uid="{A9FCE2F4-EB38-4AE0-B2FB-E21FAA307380}" name="Column6" dataDxfId="376"/>
    <tableColumn id="10" xr3:uid="{CE842EE1-A368-46F3-BAD6-A38D09F04188}" name="Column7" dataDxfId="375"/>
    <tableColumn id="11" xr3:uid="{E1BB55A8-55E1-46E3-BEB9-984D8690820A}" name="Column8" dataDxfId="374"/>
    <tableColumn id="12" xr3:uid="{090BB71F-ABB4-48D1-988E-1CF90D60A77A}" name="Column9" dataDxfId="373"/>
    <tableColumn id="13" xr3:uid="{027AE52E-B028-4680-A0E7-822773B5314A}" name="Column10" dataDxfId="372"/>
    <tableColumn id="14" xr3:uid="{253DE15A-CC48-4E9A-A9A7-BA6FF7EBA0B1}" name="Column11" dataDxfId="371"/>
    <tableColumn id="15" xr3:uid="{006528B7-E01F-4B41-B07F-0C6FB61B700A}" name="Error Number" dataDxfId="37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DB513DE-86CF-4528-8F52-D50BD99B507C}" name="Table_Foutmeldingen" displayName="Table_Foutmeldingen" ref="A1:G38" totalsRowShown="0" headerRowDxfId="369" dataDxfId="368">
  <autoFilter ref="A1:G38" xr:uid="{2DB513DE-86CF-4528-8F52-D50BD99B507C}"/>
  <sortState xmlns:xlrd2="http://schemas.microsoft.com/office/spreadsheetml/2017/richdata2" ref="A2:G38">
    <sortCondition ref="A1:A38"/>
  </sortState>
  <tableColumns count="7">
    <tableColumn id="1" xr3:uid="{0616B85C-5315-4E6F-AB12-B3498A089F8C}" name="Nr. Foutmelding" dataDxfId="367"/>
    <tableColumn id="2" xr3:uid="{70A423E3-3A9D-432A-8393-F405E1ACA73C}" name="Foutmelding - deel 1" dataDxfId="366"/>
    <tableColumn id="10" xr3:uid="{8F2A5069-3737-4268-981B-25FE18231F17}" name="Foutmelding - deel 2" dataDxfId="365"/>
    <tableColumn id="6" xr3:uid="{E6C2E9A7-E786-458A-8BAA-8678C10D7D75}" name="Foutmelding - deel 3" dataDxfId="364"/>
    <tableColumn id="9" xr3:uid="{6D9E5273-7170-45CB-84AF-3B4A183A8242}" name="Value" dataDxfId="363"/>
    <tableColumn id="3" xr3:uid="{B29CA21D-E9D2-404F-AF02-285F8025431B}" name="Foutmelding" dataDxfId="362">
      <calculatedColumnFormula>_xlfn.TEXTJOIN(" ",TRUE,Table_Foutmeldingen[[#This Row],[Foutmelding - deel 1]:[Foutmelding - deel 3]])</calculatedColumnFormula>
    </tableColumn>
    <tableColumn id="4" xr3:uid="{7C525411-381E-4000-94D5-B3A6987BC00B}" name="Check" dataDxfId="36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355DEC-1D20-4AFD-9FE2-7B92A4303151}" name="Table_LuT_Deelnemers" displayName="Table_LuT_Deelnemers" ref="A1:CZ22" totalsRowCount="1" headerRowDxfId="360">
  <autoFilter ref="A1:CZ21" xr:uid="{66355DEC-1D20-4AFD-9FE2-7B92A4303151}"/>
  <tableColumns count="104">
    <tableColumn id="1" xr3:uid="{B2ECCB66-BD49-4166-8480-D75F0F62B255}" name="ID Deelnemer" dataDxfId="359" totalsRowDxfId="358"/>
    <tableColumn id="2" xr3:uid="{461683E8-A5C2-435B-B582-065999ADFA21}" name="Referentienaam Deelnemer" dataDxfId="357" totalsRowDxfId="356"/>
    <tableColumn id="3" xr3:uid="{67F763B7-25A3-4B9F-B8B9-F406FCC08860}" name="Verkorte Referentienaam Deelnemer" dataDxfId="355" totalsRowDxfId="354"/>
    <tableColumn id="6" xr3:uid="{E25078B6-AFDD-4786-986B-7EE202CA2BAA}" name="Naam Sheet" dataDxfId="353" totalsRowDxfId="352">
      <calculatedColumnFormula>Table_LuT_Deelnemers[[#This Row],[ID Deelnemer]]</calculatedColumnFormula>
    </tableColumn>
    <tableColumn id="4" xr3:uid="{67BB149B-5C06-473B-8352-76CBA6506BF2}" name="Naam Organisatie" dataDxfId="351" totalsRowDxfId="350">
      <calculatedColumnFormula array="1">IF(NOT(Table_LuT_Deelnemers[[#This Row],[DN niet leeg?]]),"",_xlfn.XLOOKUP(Table_LuT_Deelnemers[[#This Row],[ID Deelnemer]],INDEX(Range_Deelnemer_Nrs,,1),INDEX(Range_Deelnemer_Nrs,,2),"",0,1))</calculatedColumnFormula>
    </tableColumn>
    <tableColumn id="5" xr3:uid="{9FDB738F-8B7B-4C81-A068-E4D1EE3F97D0}" name="Type Organisatie" dataDxfId="349" totalsRowDxfId="348">
      <calculatedColumnFormula array="1">IF(NOT(Table_LuT_Deelnemers[[#This Row],[Type Organisatie niet leeg?]]),"",_xlfn.XLOOKUP(Table_LuT_Deelnemers[[#This Row],[ID Deelnemer]],INDEX(Range_Deelnemer_Nrs,,1),INDEX(Range_Deelnemer_Nrs,,3),"",0,1))</calculatedColumnFormula>
    </tableColumn>
    <tableColumn id="103" xr3:uid="{F4FF4936-8610-4855-9710-F08A3460BE73}" name="TO" dataDxfId="347" totalsRowDxfId="346">
      <calculatedColumnFormula array="1">IF(NOT(Table_LuT_Deelnemers[[#This Row],[Type Organisatie niet leeg?]]),"",_xlfn.XLOOKUP(Table_LuT_Deelnemers[[#This Row],[Type Organisatie]],ValList_Type_Organisatie,Table_Val_List_Type_Org[TO]))</calculatedColumnFormula>
    </tableColumn>
    <tableColumn id="7" xr3:uid="{AE4ACFD6-1A1C-445B-A394-05B6BC87717E}" name="KVK-nummer" dataDxfId="345" totalsRowDxfId="344">
      <calculatedColumnFormula array="1">IF(NOT(Table_LuT_Deelnemers[[#This Row],[KVK niet leeg?]]),"",_xlfn.XLOOKUP(Table_LuT_Deelnemers[[#This Row],[ID Deelnemer]],INDEX(Range_Deelnemer_Nrs,,1),INDEX(Range_Deelnemer_Nrs,,4),"",0,1))</calculatedColumnFormula>
    </tableColumn>
    <tableColumn id="15" xr3:uid="{937D4D92-7BDA-42ED-8376-590ADA25C0D9}" name="Land Organisatie [indien buitenlands]" dataDxfId="343" totalsRowDxfId="342">
      <calculatedColumnFormula array="1">IF(NOT(Table_LuT_Deelnemers[[#This Row],[DN niet leeg?]]),"",IF(NOT(Table_LuT_Deelnemers[[#This Row],[Is Buitenlandse Organisatie]]),"",_xlfn.XLOOKUP(Table_LuT_Deelnemers[[#This Row],[ID Deelnemer]],INDEX(Range_Deelnemer_Nrs,,1),INDEX(Range_Deelnemer_Nrs,,5),"",0,1)))</calculatedColumnFormula>
    </tableColumn>
    <tableColumn id="57" xr3:uid="{DAB48008-EF59-4EAB-9D47-9A091B888AF4}" name="Vestiging in Nederland" dataDxfId="341" totalsRowDxfId="340">
      <calculatedColumnFormula array="1">IF(NOT(Table_LuT_Deelnemers[[#This Row],[DN niet leeg?]]),"",_xlfn.XLOOKUP(Table_LuT_Deelnemers[[#This Row],[ID Deelnemer]],INDEX(Range_Deelnemer_Nrs,,1),INDEX(Range_Deelnemer_Nrs,,6),"",0,1)&lt;&gt;"nee")</calculatedColumnFormula>
    </tableColumn>
    <tableColumn id="56" xr3:uid="{E11DEE36-C8E4-49EC-8482-82CABC62D28A}" name="Website Organisatie" dataDxfId="339" totalsRowDxfId="338">
      <calculatedColumnFormula array="1">IF(NOT(Table_LuT_Deelnemers[[#This Row],[DN niet leeg?]]),"",_xlfn.LET(_xlpm.website,_xlfn.XLOOKUP(Table_LuT_Deelnemers[[#This Row],[ID Deelnemer]],INDEX(Range_Deelnemer_Nrs,,1),INDEX(Range_Deelnemer_Nrs,,7),"",0,1),IF(_xlpm.website=0,"",_xlpm.website)))</calculatedColumnFormula>
    </tableColumn>
    <tableColumn id="29" xr3:uid="{37659B05-0F6B-4A2C-A2B7-0CE382FD4832}" name="Kostensystematiek" dataDxfId="337" totalsRowDxfId="336">
      <calculatedColumnFormula array="1">IF(INDIRECT("'"&amp;Table_LuT_Deelnemers[[#This Row],[Naam Sheet]]&amp;"'!Kostensystematiek")="[Maak een keuze]","",INDIRECT("'"&amp;Table_LuT_Deelnemers[[#This Row],[Naam Sheet]]&amp;"'!Kostensystematiek"))</calculatedColumnFormula>
    </tableColumn>
    <tableColumn id="27" xr3:uid="{A29679E3-0656-4E2A-99F6-BCF62698528F}" name="Is MKB?" dataDxfId="335" totalsRowDxfId="334">
      <calculatedColumnFormula>Table_LuT_Deelnemers[[#This Row],[Type Organisatie]]="MKB"</calculatedColumnFormula>
    </tableColumn>
    <tableColumn id="23" xr3:uid="{AA304EA4-A6B2-4A58-B4DC-2CB1444C55C2}" name="Is OO?" dataDxfId="333" totalsRowDxfId="332">
      <calculatedColumnFormula>Table_LuT_Deelnemers[[#This Row],[Type Organisatie]]="Onderzoeksorganisatie"</calculatedColumnFormula>
    </tableColumn>
    <tableColumn id="104" xr3:uid="{2B0DDAC6-7879-4131-86E8-748626F1B361}" name="Is GB?" dataDxfId="331" totalsRowDxfId="330">
      <calculatedColumnFormula>Table_LuT_Deelnemers[[#This Row],[Type Organisatie]]="Grootbedrijf"</calculatedColumnFormula>
    </tableColumn>
    <tableColumn id="21" xr3:uid="{04D888C5-BBAF-4E00-AACA-4E750A473756}" name="Is Penvoerder?" dataDxfId="329" totalsRowDxfId="328">
      <calculatedColumnFormula>Table_LuT_Deelnemers[[#This Row],[Verkorte Referentienaam Deelnemer]]="DN1"</calculatedColumnFormula>
    </tableColumn>
    <tableColumn id="14" xr3:uid="{DAC50501-9096-4EFC-BD6A-B8606F29E7E9}" name="Penvoerder niet leeg?" totalsRowFunction="custom" dataDxfId="327" totalsRowDxfId="326">
      <calculatedColumnFormula>NOT(ISBLANK(Deelnemer_1))</calculatedColumnFormula>
      <totalsRowFormula>AND(Table_LuT_Deelnemers[Penvoerder niet leeg?])</totalsRowFormula>
    </tableColumn>
    <tableColumn id="12" xr3:uid="{14E61CC3-BD09-4478-8FB1-FBD6B085088E}" name="DN2 niet leeg?" totalsRowFunction="custom" dataDxfId="325" totalsRowDxfId="324">
      <calculatedColumnFormula>NOT(ISBLANK(Deelnemer_2))</calculatedColumnFormula>
      <totalsRowFormula>AND(Table_LuT_Deelnemers[DN2 niet leeg?])</totalsRowFormula>
    </tableColumn>
    <tableColumn id="16" xr3:uid="{58E4A23A-C21F-4215-AA89-48407DBE9824}" name="DN niet leeg?" totalsRowFunction="custom" dataDxfId="323" totalsRowDxfId="322">
      <calculatedColumnFormula array="1">NOT(ISBLANK(_xlfn.XLOOKUP(Table_LuT_Deelnemers[[#This Row],[ID Deelnemer]],INDEX(Range_Deelnemer_Nrs,,1),INDEX(Range_Deelnemer_Nrs,,2),"",0,1)))</calculatedColumnFormula>
      <totalsRowFormula>AND(Table_LuT_Deelnemers[DN niet leeg?])</totalsRowFormula>
    </tableColumn>
    <tableColumn id="11" xr3:uid="{04654C47-EB5E-4150-8F03-B9F606A27783}" name="Type Organisatie niet leeg?" totalsRowFunction="custom" dataDxfId="321" totalsRowDxfId="320">
      <calculatedColumnFormula array="1">_xlfn.XLOOKUP(Table_LuT_Deelnemers[[#This Row],[ID Deelnemer]],INDEX(Range_Deelnemer_Nrs,,1),INDEX(Range_Deelnemer_Nrs,,3),"",0,1)&lt;&gt;"[Maak een keuze]"</calculatedColumnFormula>
      <totalsRowFormula>AND(Table_LuT_Deelnemers[Type Organisatie niet leeg?])</totalsRowFormula>
    </tableColumn>
    <tableColumn id="10" xr3:uid="{14D4FBED-BE28-48A3-ACCE-CF1FC19CD388}" name="KVK niet leeg?" totalsRowFunction="custom" dataDxfId="319" totalsRowDxfId="318">
      <calculatedColumnFormula array="1">NOT(ISBLANK(_xlfn.XLOOKUP(Table_LuT_Deelnemers[[#This Row],[ID Deelnemer]],INDEX(Range_Deelnemer_Nrs,,1),INDEX(Range_Deelnemer_Nrs,,4),"",0,1)))</calculatedColumnFormula>
      <totalsRowFormula>AND(Table_LuT_Deelnemers[KVK niet leeg?])</totalsRowFormula>
    </tableColumn>
    <tableColumn id="9" xr3:uid="{9E46D84F-F256-4244-90DF-A628FB7F3FA3}" name="Is Buitenlandse Organisatie" totalsRowFunction="custom" dataDxfId="317" totalsRowDxfId="316">
      <calculatedColumnFormula array="1">NOT(ISBLANK(_xlfn.XLOOKUP(Table_LuT_Deelnemers[[#This Row],[ID Deelnemer]],INDEX(Range_Deelnemer_Nrs,,1),INDEX(Range_Deelnemer_Nrs,,5),"",0,1)))</calculatedColumnFormula>
      <totalsRowFormula>AND(Table_LuT_Deelnemers[Is Buitenlandse Organisatie])</totalsRowFormula>
    </tableColumn>
    <tableColumn id="30" xr3:uid="{D271C65D-49E7-40D1-94B1-C47E5E31D5B3}" name="Kostensystematiek niet leeg?" totalsRowFunction="custom" dataDxfId="315" totalsRowDxfId="314">
      <calculatedColumnFormula array="1">INDIRECT("'"&amp;Table_LuT_Deelnemers[[#This Row],[Naam Sheet]]&amp;"'!Kostensystematiek")&lt;&gt;"[Maak een keuze]"</calculatedColumnFormula>
      <totalsRowFormula>AND(Table_LuT_Deelnemers[Kostensystematiek niet leeg?])</totalsRowFormula>
    </tableColumn>
    <tableColumn id="26" xr3:uid="{BBF5E28E-A701-4CD5-97C8-2C5317A74DDF}" name="MKB-Consortium - part?" totalsRowFunction="custom" dataDxfId="313" totalsRowDxfId="312">
      <calculatedColumnFormula>OR(NOT(Table_LuT_Deelnemers[[#This Row],[DN niet leeg?]]),Table_LuT_Deelnemers[[#This Row],[Is OO?]],NOT(Table_LuT_Deelnemers[[#This Row],[Is GB?]]))</calculatedColumnFormula>
      <totalsRowFormula>AND(Table_LuT_Deelnemers[MKB-Consortium - part?])</totalsRowFormula>
    </tableColumn>
    <tableColumn id="25" xr3:uid="{2051A240-9E2D-4CB0-AADB-E956F3AA43A4}" name="Check 005" totalsRowFunction="custom" dataDxfId="311" totalsRowDxfId="310">
      <calculatedColumnFormula>OR(Table_LuT_Deelnemers[[#This Row],[Verkorte Referentienaam Deelnemer]]&lt;&gt;"DN1",NOT(Table_LuT_Deelnemers[[#This Row],[Penvoerder niet leeg?]]),AND(Subsidie_instrument&lt;&gt;"[Maak een keuze]",NOT(ISBLANK(Projecttitel)),NOT(ISBLANK(Projectacroniem))))</calculatedColumnFormula>
      <totalsRowFormula>AND(Table_LuT_Deelnemers[Check 005])</totalsRowFormula>
    </tableColumn>
    <tableColumn id="85" xr3:uid="{A6A04A91-C671-4F1F-B3EB-F9DA2057338A}" name="Check 006" totalsRowFunction="custom" dataDxfId="309" totalsRowDxfId="308">
      <calculatedColumnFormula>LEN(Projecttitel)&lt;=255</calculatedColumnFormula>
      <totalsRowFormula>AND(Table_LuT_Deelnemers[Check 006])</totalsRowFormula>
    </tableColumn>
    <tableColumn id="54" xr3:uid="{1DE7264E-828A-4D58-AF93-3297C56E0E7C}" name="Check 007" totalsRowFunction="custom" dataDxfId="307" totalsRowDxfId="306">
      <calculatedColumnFormula>LEN(Projectacroniem)&lt;=30</calculatedColumnFormula>
      <totalsRowFormula>AND(Table_LuT_Deelnemers[Check 007])</totalsRowFormula>
    </tableColumn>
    <tableColumn id="19" xr3:uid="{E993AB19-BBE0-4C0E-B492-E7E3A93D3920}" name="Check 011" totalsRowFunction="custom" dataDxfId="305" totalsRowDxfId="304">
      <calculatedColumnFormula>OR(Table_LuT_Deelnemers[[#This Row],[Verkorte Referentienaam Deelnemer]]&lt;&gt;"DN1",Table_LuT_Deelnemers[[#This Row],[Penvoerder niet leeg?]],NOT(Table_LuT_Deelnemers[[#This Row],[DN2 niet leeg?]]))</calculatedColumnFormula>
      <totalsRowFormula>AND(Table_LuT_Deelnemers[Check 011])</totalsRowFormula>
    </tableColumn>
    <tableColumn id="18" xr3:uid="{2265384C-0C39-4B4E-B1DD-575D0147FC57}" name="Check 013" totalsRowFunction="custom" dataDxfId="303" totalsRowDxfId="302">
      <calculatedColumnFormula>OR(Table_LuT_Deelnemers[[#This Row],[Verkorte Referentienaam Deelnemer]]&lt;&gt;"DN2",NOT(_xlfn.XOR(Table_LuT_Deelnemers[[#This Row],[Penvoerder niet leeg?]],Table_LuT_Deelnemers[[#This Row],[DN2 niet leeg?]])))</calculatedColumnFormula>
      <totalsRowFormula>AND(Table_LuT_Deelnemers[Check 013])</totalsRowFormula>
    </tableColumn>
    <tableColumn id="20" xr3:uid="{569F9949-4BBD-4B40-A336-A398CAEDE5E8}" name="Check 015" totalsRowFunction="custom" dataDxfId="301" totalsRowDxfId="300">
      <totalsRowFormula>AND(Table_LuT_Deelnemers[Check 015])</totalsRowFormula>
    </tableColumn>
    <tableColumn id="22" xr3:uid="{920CD7CA-B9F8-40E6-AF81-3E5EB2BB4325}" name="Check 017" totalsRowFunction="custom" dataDxfId="299" totalsRowDxfId="298">
      <calculatedColumnFormula>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calculatedColumnFormula>
      <totalsRowFormula>AND(Table_LuT_Deelnemers[Check 017])</totalsRowFormula>
    </tableColumn>
    <tableColumn id="50" xr3:uid="{95A27199-A06D-40BD-9E2A-E081E4C42C32}" name="Check 020" totalsRowFunction="custom" dataDxfId="297" totalsRowDxfId="296">
      <calculatedColumnFormula>OR(NOT(Table_LuT_Deelnemers[[#This Row],[DN niet leeg?]]),NOT(Table_LuT_Deelnemers[[#This Row],[DN2 niet leeg?]]),OR(Table_LuT_Deelnemers[Is OO?]))</calculatedColumnFormula>
      <totalsRowFormula>AND(Table_LuT_Deelnemers[Check 020])</totalsRowFormula>
    </tableColumn>
    <tableColumn id="8" xr3:uid="{A5E19502-99CA-4D5E-83AB-9B1ACC6AD137}" name="Check 111" totalsRowFunction="custom" dataDxfId="295" totalsRowDxfId="294">
      <calculatedColumnFormula>OR(Table_LuT_Deelnemers[[#This Row],[Verkorte Referentienaam Deelnemer]]="DN1",NOT(_xlfn.XOR(Table_LuT_Deelnemers[[#This Row],[DN niet leeg?]],Table_LuT_Deelnemers[[#This Row],[Type Organisatie niet leeg?]])))</calculatedColumnFormula>
      <totalsRowFormula>AND(Table_LuT_Deelnemers[Check 111])</totalsRowFormula>
    </tableColumn>
    <tableColumn id="13" xr3:uid="{7FEE7EF3-783D-4740-90E4-2965C377E086}" name="Check 121" totalsRowFunction="custom" dataDxfId="293" totalsRowDxfId="292">
      <calculatedColumnFormula>OR(Table_LuT_Deelnemers[[#This Row],[Verkorte Referentienaam Deelnemer]]&lt;&gt;"DN1",NOT(Table_LuT_Deelnemers[[#This Row],[Penvoerder niet leeg?]]),NOT(Table_LuT_Deelnemers[[#This Row],[Is Buitenlandse Organisatie]]))</calculatedColumnFormula>
      <totalsRowFormula>AND(Table_LuT_Deelnemers[Check 121])</totalsRowFormula>
    </tableColumn>
    <tableColumn id="17" xr3:uid="{768E0FB1-88BA-48CB-9A3E-5AA2760AA804}" name="Check 123" totalsRowFunction="custom" dataDxfId="291" totalsRowDxfId="290">
      <calculatedColumnFormula>OR(NOT(Table_LuT_Deelnemers[[#This Row],[DN niet leeg?]]),Table_LuT_Deelnemers[[#This Row],[Is Buitenlandse Organisatie]],Table_LuT_Deelnemers[[#This Row],[KVK niet leeg?]])</calculatedColumnFormula>
      <totalsRowFormula>AND(Table_LuT_Deelnemers[Check 123])</totalsRowFormula>
    </tableColumn>
    <tableColumn id="86" xr3:uid="{C8592BF5-3A4E-4A14-B185-3CFE1CF6095D}" name="Check 124" totalsRowFunction="custom" dataDxfId="289" totalsRowDxfId="288">
      <calculatedColumnFormula>OR(NOT(Table_LuT_Deelnemers[[#This Row],[DN niet leeg?]]),Table_LuT_Deelnemers[[#This Row],[Is Buitenlandse Organisatie]],AND(Table_LuT_Deelnemers[[#This Row],[KVK niet leeg?]],LEN(Table_LuT_Deelnemers[[#This Row],[KVK-nummer]])&lt;=8))</calculatedColumnFormula>
      <totalsRowFormula>AND(Table_LuT_Deelnemers[Check 124])</totalsRowFormula>
    </tableColumn>
    <tableColumn id="24" xr3:uid="{F6A3847E-DD70-419C-BFD6-1A53F8FF7674}" name="Check 125" totalsRowFunction="custom" dataDxfId="287" totalsRowDxfId="286">
      <calculatedColumnFormula>OR(NOT(Table_LuT_Deelnemers[[#This Row],[DN niet leeg?]]),NOT(Table_LuT_Deelnemers[[#This Row],[Is Buitenlandse Organisatie]]),NOT(Table_LuT_Deelnemers[[#This Row],[KVK niet leeg?]]))</calculatedColumnFormula>
      <totalsRowFormula>AND(Table_LuT_Deelnemers[Check 125])</totalsRowFormula>
    </tableColumn>
    <tableColumn id="49" xr3:uid="{78DF510E-E110-48DE-A137-F1AACEC8E859}" name="Check 150" totalsRowFunction="custom" dataDxfId="285" totalsRowDxfId="284">
      <calculatedColumnFormula>OR(NOT(Table_LuT_Deelnemers[[#This Row],[DN niet leeg?]]),Table_LuT_Deelnemers[[#This Row],[Kostensystematiek niet leeg?]])</calculatedColumnFormula>
      <totalsRowFormula>AND(Table_LuT_Deelnemers[Check 150])</totalsRowFormula>
    </tableColumn>
    <tableColumn id="88" xr3:uid="{BC3724EB-1005-4BC7-8E95-8C9912C75B9B}" name="Check 160" totalsRowFunction="custom" dataDxfId="283" totalsRowDxfId="282">
      <calculatedColumnFormula array="1">INDIRECT("'"&amp;Table_LuT_Deelnemers[[#This Row],[ID Deelnemer]]&amp;"'!Check_Vaste_uurtarief")</calculatedColumnFormula>
      <totalsRowFormula>AND(Table_LuT_Deelnemers[Check 160])</totalsRowFormula>
    </tableColumn>
    <tableColumn id="48" xr3:uid="{C7602741-6EA5-4253-8B06-4535CF26FB44}" name="Check 190" totalsRowFunction="custom" dataDxfId="281" totalsRowDxfId="280">
      <calculatedColumnFormula array="1">OR(NOT(Table_LuT_Deelnemers[[#This Row],[Is Penvoerder?]]),NOT(Table_LuT_Deelnemers[[#This Row],[DN niet leeg?]]),AND(OR(Var_Sub.instr.="MKB",Table_LuT_Deelnemers[[#This Row],[Is OO?]]),OR(Var_Sub.instr.&lt;&gt;"MKB",Table_LuT_Deelnemers[[#This Row],[Is MKB?]])))</calculatedColumnFormula>
      <totalsRowFormula>AND(Table_LuT_Deelnemers[Check 190])</totalsRowFormula>
    </tableColumn>
    <tableColumn id="28" xr3:uid="{366F7ED7-84E6-41DD-ACD8-3E1F2FE53C1E}" name="Check 200" totalsRowFunction="custom" dataDxfId="279" totalsRowDxfId="278">
      <calculatedColumnFormula array="1">OR(NOT(Table_LuT_Deelnemers[[#This Row],[DN niet leeg?]]),Var_Sub.instr.&lt;&gt;"MKB",Table_LuT_Deelnemers[[#This Row],[Is OO?]],Table_LuT_Deelnemers[[#This Row],[Is MKB?]])</calculatedColumnFormula>
      <totalsRowFormula>AND(Table_LuT_Deelnemers[Check 200])</totalsRowFormula>
    </tableColumn>
    <tableColumn id="66" xr3:uid="{1611CFD8-8372-4065-9052-1F1A26C6AF7F}" name="Check 500" totalsRowFunction="custom" dataDxfId="277" totalsRowDxfId="276">
      <calculatedColumnFormula array="1">IFERROR(Minimale_Cash_CoF&lt;=SUMIFS(Table_LuT_Deelnemers[Cash Bijdrage],Table_LuT_Deelnemers[Type Organisatie],"&lt;&gt;Onderzoeksorganisatie"),FALSE)</calculatedColumnFormula>
      <totalsRowFormula>AND(Table_LuT_Deelnemers[Check 500])</totalsRowFormula>
    </tableColumn>
    <tableColumn id="67" xr3:uid="{F84C706E-9584-496D-9663-A4BAFFC1913B}" name="Check 505" totalsRowFunction="custom" dataDxfId="275" totalsRowDxfId="274">
      <calculatedColumnFormula array="1">IFERROR(Minimale_Cash_CoF&lt;=SUMIFS(Table_LuT_Deelnemers[Cash Ontvangen],Table_LuT_Deelnemers[Type Organisatie],"Onderzoeksorganisatie"),FALSE)</calculatedColumnFormula>
      <totalsRowFormula>AND(Table_LuT_Deelnemers[Check 505])</totalsRowFormula>
    </tableColumn>
    <tableColumn id="68" xr3:uid="{6BC84A3F-165E-42C9-943E-4C097F2C5A4B}" name="Check 510" totalsRowFunction="custom" dataDxfId="273" totalsRowDxfId="272">
      <calculatedColumnFormula array="1">AND(((Table_LuT_Deelnemers[Cash Bijdrage])=0) + ((Table_LuT_Deelnemers[Cash Ontvangen])=0))</calculatedColumnFormula>
      <totalsRowFormula>AND(Table_LuT_Deelnemers[Check 510])</totalsRowFormula>
    </tableColumn>
    <tableColumn id="69" xr3:uid="{6890BFE9-ED4D-4783-8855-9D672CCEFFE2}" name="Check 515" totalsRowFunction="custom" dataDxfId="271" totalsRowDxfId="270">
      <calculatedColumnFormula>IFERROR(ABS(Table_LuT_Deelnemers[[#Totals],[Cash Bijdrage]]-Table_LuT_Deelnemers[[#Totals],[Cash Ontvangen]])&lt;1,FALSE)</calculatedColumnFormula>
      <totalsRowFormula>AND(Table_LuT_Deelnemers[Check 515])</totalsRowFormula>
    </tableColumn>
    <tableColumn id="70" xr3:uid="{DC9A4AC7-37BB-4B32-8635-BAB79FD49F34}" name="Check 520" totalsRowFunction="custom" dataDxfId="269" totalsRowDxfId="268">
      <calculatedColumnFormula>IFERROR(Table_LuT_Deelnemers[[#This Row],[Maximale Subsidie FO - HTSM^overheid]]&gt;=Table_LuT_Deelnemers[[#This Row],[Gevraagde Subsidie FO]],FALSE)</calculatedColumnFormula>
      <totalsRowFormula>AND(Table_LuT_Deelnemers[Check 520])</totalsRowFormula>
    </tableColumn>
    <tableColumn id="71" xr3:uid="{D0BCDB32-E443-407C-BB92-6646E8869B49}" name="Check 525" totalsRowFunction="custom" dataDxfId="267" totalsRowDxfId="266">
      <calculatedColumnFormula>IFERROR(Table_LuT_Deelnemers[[#This Row],[Maximale Subsidie IO - HTSM^overheid]]&gt;=Table_LuT_Deelnemers[[#This Row],[Gevraagde Subsidie IO]],FALSE)</calculatedColumnFormula>
      <totalsRowFormula>AND(Table_LuT_Deelnemers[Check 525])</totalsRowFormula>
    </tableColumn>
    <tableColumn id="72" xr3:uid="{53813698-1EEC-4105-8568-75817B5B5B28}" name="Check 530" totalsRowFunction="custom" dataDxfId="265" totalsRowDxfId="264">
      <calculatedColumnFormula>IFERROR(Table_LuT_Deelnemers[[#This Row],[Maximale Subsidie EO - HTSM^overheid]]&gt;=Table_LuT_Deelnemers[[#This Row],[Gevraagde Subsidie EO]],FALSE)</calculatedColumnFormula>
      <totalsRowFormula>AND(Table_LuT_Deelnemers[Check 530])</totalsRowFormula>
    </tableColumn>
    <tableColumn id="73" xr3:uid="{EB4FC5C6-8D71-41B9-993B-7CF1890A37EF}" name="Check 535" totalsRowFunction="custom" dataDxfId="263" totalsRowDxfId="262">
      <calculatedColumnFormula array="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calculatedColumnFormula>
      <totalsRowFormula>AND(Table_LuT_Deelnemers[Check 535])</totalsRowFormula>
    </tableColumn>
    <tableColumn id="74" xr3:uid="{941E24C3-1AAC-4146-B265-A39E573B8802}" name="Check 540" totalsRowFunction="custom" dataDxfId="261" totalsRowDxfId="260">
      <calculatedColumnFormula>IFERROR(Table_LuT_Deelnemers[[#Totals],[Maximale Subsidie Totaal - HTSM]]&gt;=Table_LuT_Deelnemers[[#Totals],[Gevraagde Subsidie Totaal]],FALSE)</calculatedColumnFormula>
      <totalsRowFormula>AND(Table_LuT_Deelnemers[Check 540])</totalsRowFormula>
    </tableColumn>
    <tableColumn id="64" xr3:uid="{740934F9-5A0B-43AD-AF9D-C995AC490D86}" name="Check 541" totalsRowFunction="custom" dataDxfId="259" totalsRowDxfId="258">
      <calculatedColumnFormula array="1">OR(NOT(Table_LuT_Deelnemers[[#This Row],[DN niet leeg?]]),Var_Sub.instr.="MKB",Table_LuT_Deelnemers[[#This Row],[Type Organisatie]]="Onderzoeksorganisatie",Table_LuT_Deelnemers[[#This Row],[Gevraagde Subsidie Totaal]]=0)</calculatedColumnFormula>
      <totalsRowFormula>AND(Table_LuT_Deelnemers[Check 541])</totalsRowFormula>
    </tableColumn>
    <tableColumn id="75" xr3:uid="{3AFFCBA1-3CBE-4E57-ADFB-DF76E207C09C}" name="Check 545" totalsRowFunction="custom" dataDxfId="257" totalsRowDxfId="256">
      <calculatedColumnFormula array="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calculatedColumnFormula>
      <totalsRowFormula>AND(Table_LuT_Deelnemers[Check 545])</totalsRowFormula>
    </tableColumn>
    <tableColumn id="76" xr3:uid="{FD9034EF-BC0E-400E-89B9-DB09EBE290F2}" name="Check 550" totalsRowFunction="custom" dataDxfId="255" totalsRowDxfId="254">
      <calculatedColumnFormula array="1">IFERROR(AND(ABS((Table_LuT_Deelnemers[Kosten Totaal])-(Table_LuT_Deelnemers[Financiering Totaal]))&lt;1),FALSE)</calculatedColumnFormula>
      <totalsRowFormula>AND(Table_LuT_Deelnemers[Check 550])</totalsRowFormula>
    </tableColumn>
    <tableColumn id="77" xr3:uid="{2570E18F-5B30-470D-9922-F48C8CE60342}" name="Check 555" totalsRowFunction="custom" dataDxfId="253" totalsRowDxfId="252">
      <calculatedColumnFormula>IFERROR(ABS(Table_LuT_Deelnemers[[#Totals],[Financiering Totaal]]-Table_LuT_Deelnemers[[#Totals],[Kosten Totaal]])&lt;1,FALSE)</calculatedColumnFormula>
      <totalsRowFormula>AND(Table_LuT_Deelnemers[Check 555])</totalsRowFormula>
    </tableColumn>
    <tableColumn id="78" xr3:uid="{30B29629-0B57-4E14-899E-0CD78FAAA981}" name="Check 560" totalsRowFunction="custom" dataDxfId="251" totalsRowDxfId="250">
      <calculatedColumnFormula array="1">OR(Var_Sub.instr.&lt;&gt;"MKB",AND(Table_LuT_Deelnemers[Kosten FO]=0,Table_LuT_Deelnemers[Kosten EO]=0))</calculatedColumnFormula>
      <totalsRowFormula>AND(Table_LuT_Deelnemers[Check 560])</totalsRowFormula>
    </tableColumn>
    <tableColumn id="79" xr3:uid="{9059519B-5A39-47A3-99AD-9555858C4284}" name="Check 565" totalsRowFunction="custom" dataDxfId="249" totalsRowDxfId="248">
      <calculatedColumnFormula array="1">IF(Var_Sub.instr.="MKB",AND(Table_LuT_Deelnemers[Verhouding SUM kosten OOs / SUM kosten MKBs is OK?]),TRUE)</calculatedColumnFormula>
      <totalsRowFormula>AND(Table_LuT_Deelnemers[Check 565])</totalsRowFormula>
    </tableColumn>
    <tableColumn id="80" xr3:uid="{20079750-7E98-407F-9984-1E1FCC790B4B}" name="Check 570" totalsRowFunction="custom" dataDxfId="247" totalsRowDxfId="246">
      <calculatedColumnFormula array="1">IF(Var_Sub.instr.="MKB",AND(Table_LuT_Deelnemers[SUM Maximale Subsidie MKBs &lt;= € 300,000, als MKB-call],Table_LuT_Deelnemers[SUM Maximale Subsidie OOs &lt;= € 150,000, als MKB-call]),TRUE)</calculatedColumnFormula>
      <totalsRowFormula>AND(Table_LuT_Deelnemers[Check 570])</totalsRowFormula>
    </tableColumn>
    <tableColumn id="65" xr3:uid="{5B3E965D-F36E-4627-A642-314477DA1C0B}" name="Check 575" totalsRowFunction="custom" dataDxfId="245" totalsRowDxfId="244">
      <calculatedColumnFormula array="1">AND(( (Table_LuT_Deelnemers[Naam Organisatie]&lt;&gt;"") + ((Table_LuT_Deelnemers[Cash Bijdrage]=0) * (Table_LuT_Deelnemers[Financiering Totaal]=0)) ))</calculatedColumnFormula>
      <totalsRowFormula>AND(Table_LuT_Deelnemers[Check 575])</totalsRowFormula>
    </tableColumn>
    <tableColumn id="62" xr3:uid="{61269D06-9ED2-4132-B7BA-203D357FAB2D}" name="Check 580" totalsRowFunction="custom" dataDxfId="243" totalsRowDxfId="242">
      <calculatedColumnFormula array="1">IFERROR(AND((Table_LuT_Deelnemers[[Cash Bijdrage]:[Gevraagde Subsidie EO]]="") + (ISNUMBER(Table_LuT_Deelnemers[[Cash Bijdrage]:[Gevraagde Subsidie EO]]) * (Table_LuT_Deelnemers[[Cash Bijdrage]:[Gevraagde Subsidie EO]]&gt;=0) * (MOD(Table_LuT_Deelnemers[[Cash Bijdrage]:[Gevraagde Subsidie EO]],1)=0))),FALSE)</calculatedColumnFormula>
      <totalsRowFormula>AND(Table_LuT_Deelnemers[Check 580])</totalsRowFormula>
    </tableColumn>
    <tableColumn id="87" xr3:uid="{B50C097A-3B33-48E7-8756-F0A52AB20D1E}" name="Check 990" totalsRowFunction="custom" dataDxfId="241" totalsRowDxfId="240">
      <calculatedColumnFormula>Subsidie_Tot&lt;&gt;0</calculatedColumnFormula>
      <totalsRowFormula>AND(Table_LuT_Deelnemers[Check 990])</totalsRowFormula>
    </tableColumn>
    <tableColumn id="55" xr3:uid="{3F2855E1-E15C-44B8-BAE6-1CFD2920940D}" name="Check 999" totalsRowFunction="custom" dataDxfId="239" totalsRowDxfId="238">
      <calculatedColumnFormula>AND(Table_LuT_Deelnemers[[#This Row],[Check 005]:[Check 990]])</calculatedColumnFormula>
      <totalsRowFormula>AND(Table_LuT_Deelnemers[Check 999])</totalsRowFormula>
    </tableColumn>
    <tableColumn id="52" xr3:uid="{AD3A7906-0AF0-4A04-95B3-D9F6C51F2D3B}" name="SUM Kosten MKBs" dataDxfId="237" totalsRowDxfId="236">
      <calculatedColumnFormula>SUMIFS(Table_LuT_Deelnemers[Kosten Totaal],Table_LuT_Deelnemers[Is MKB?],TRUE)</calculatedColumnFormula>
    </tableColumn>
    <tableColumn id="51" xr3:uid="{9EC13316-7E7F-449B-A668-359B0E8D31D2}" name="SUM Kosten OOs" dataDxfId="235" totalsRowDxfId="234">
      <calculatedColumnFormula>SUMIFS(Table_LuT_Deelnemers[Kosten Totaal],Table_LuT_Deelnemers[Is OO?],TRUE)</calculatedColumnFormula>
    </tableColumn>
    <tableColumn id="53" xr3:uid="{F403B289-F872-4047-8CD2-6F2E3AF943E4}" name="Verhouding SUM kosten OOs / SUM kosten MKBs is OK?" dataDxfId="233" totalsRowDxfId="232">
      <calculatedColumnFormula array="1">IF(Var_Sub.instr.="MKB",IF(Table_LuT_Deelnemers[[#This Row],[SUM Kosten MKBs]]=0,FALSE,Table_LuT_Deelnemers[[#This Row],[SUM Kosten OOs]]/Table_LuT_Deelnemers[[#This Row],[SUM Kosten MKBs]]&lt;=0.5),TRUE)</calculatedColumnFormula>
    </tableColumn>
    <tableColumn id="39" xr3:uid="{EA74AD17-F0DC-4A2D-8CC3-F9B0CBE586BB}" name="Kosten FO" totalsRowFunction="custom" dataDxfId="231" totalsRowDxfId="230">
      <calculatedColumnFormula array="1">INDIRECT("Kst_FO_"&amp;Table_LuT_Deelnemers[[#This Row],[Verkorte Referentienaam Deelnemer]])</calculatedColumnFormula>
      <totalsRowFormula>SUBTOTAL(109,INDIRECT("Table_LuT_Deelnemers["&amp;BM$1&amp;"]"))</totalsRowFormula>
    </tableColumn>
    <tableColumn id="38" xr3:uid="{FFC6AF4B-FAEC-42D6-A090-83FD3D3412E1}" name="Kosten IO" totalsRowFunction="custom" dataDxfId="229" totalsRowDxfId="228">
      <calculatedColumnFormula array="1">INDIRECT("Kst_IO_"&amp;Table_LuT_Deelnemers[[#This Row],[Verkorte Referentienaam Deelnemer]])</calculatedColumnFormula>
      <totalsRowFormula>SUBTOTAL(109,INDIRECT("Table_LuT_Deelnemers["&amp;BN$1&amp;"]"))</totalsRowFormula>
    </tableColumn>
    <tableColumn id="37" xr3:uid="{31634858-67CB-497B-B273-85EA833A39A1}" name="Kosten EO" totalsRowFunction="custom" dataDxfId="227" totalsRowDxfId="226">
      <calculatedColumnFormula array="1">INDIRECT("Kst_EO_"&amp;Table_LuT_Deelnemers[[#This Row],[Verkorte Referentienaam Deelnemer]])</calculatedColumnFormula>
      <totalsRowFormula>SUBTOTAL(109,INDIRECT("Table_LuT_Deelnemers["&amp;BO$1&amp;"]"))</totalsRowFormula>
    </tableColumn>
    <tableColumn id="35" xr3:uid="{2FB77162-E74E-416C-8B73-B7056D0E32B7}" name="Kosten Totaal" totalsRowFunction="custom" dataDxfId="225" totalsRowDxfId="224">
      <calculatedColumnFormula array="1">INDIRECT("Kst_Tot_"&amp;Table_LuT_Deelnemers[[#This Row],[Verkorte Referentienaam Deelnemer]])</calculatedColumnFormula>
      <totalsRowFormula>SUBTOTAL(109,INDIRECT("Table_LuT_Deelnemers["&amp;BP$1&amp;"]"))</totalsRowFormula>
    </tableColumn>
    <tableColumn id="63" xr3:uid="{475594FC-864D-4D19-B03B-7C1FE38D198D}" name="Kosten Apparatuur" totalsRowFunction="custom" dataDxfId="223" totalsRowDxfId="222">
      <calculatedColumnFormula array="1">INDIRECT("'"&amp;A2&amp;"'!Kosten_Apparatuur")</calculatedColumnFormula>
      <totalsRowFormula>SUBTOTAL(109,INDIRECT("Table_LuT_Deelnemers["&amp;BQ$1&amp;"]"))</totalsRowFormula>
    </tableColumn>
    <tableColumn id="40" xr3:uid="{62A8106A-BD05-46ED-AB7E-BD4665AACB8D}" name="Maximale Subsidie FO - HTSM" totalsRowFunction="custom" dataDxfId="221" totalsRowDxfId="220">
      <calculatedColumnFormula array="1">INDIRECT("Max_Sub_FO_"&amp;Table_LuT_Deelnemers[[#This Row],[Verkorte Referentienaam Deelnemer]])</calculatedColumnFormula>
      <totalsRowFormula>SUBTOTAL(109,INDIRECT("Table_LuT_Deelnemers["&amp;BR$1&amp;"]"))</totalsRowFormula>
    </tableColumn>
    <tableColumn id="41" xr3:uid="{849C9E23-463C-49C3-86BA-407F2D1D1334}" name="Maximale Subsidie IO - HTSM" totalsRowFunction="custom" dataDxfId="219" totalsRowDxfId="218">
      <calculatedColumnFormula array="1">INDIRECT("Max_Sub_IO_"&amp;Table_LuT_Deelnemers[[#This Row],[Verkorte Referentienaam Deelnemer]])</calculatedColumnFormula>
      <totalsRowFormula>SUBTOTAL(109,INDIRECT("Table_LuT_Deelnemers["&amp;BS$1&amp;"]"))</totalsRowFormula>
    </tableColumn>
    <tableColumn id="42" xr3:uid="{7C158F10-12AB-4720-81DE-D7C2E143BC75}" name="Maximale Subsidie EO - HTSM" totalsRowFunction="custom" dataDxfId="217" totalsRowDxfId="216">
      <calculatedColumnFormula array="1">INDIRECT("Max_Sub_EO_"&amp;Table_LuT_Deelnemers[[#This Row],[Verkorte Referentienaam Deelnemer]])</calculatedColumnFormula>
      <totalsRowFormula>SUBTOTAL(109,INDIRECT("Table_LuT_Deelnemers["&amp;BT$1&amp;"]"))</totalsRowFormula>
    </tableColumn>
    <tableColumn id="43" xr3:uid="{5287AE7B-CA0E-4E91-82CA-E4B9927C7E2A}" name="Maximale Subsidie Totaal - HTSM" totalsRowFunction="custom" dataDxfId="215" totalsRowDxfId="214">
      <calculatedColumnFormula array="1">INDIRECT("Max_Sub_"&amp;Table_LuT_Deelnemers[[#This Row],[Verkorte Referentienaam Deelnemer]])</calculatedColumnFormula>
      <totalsRowFormula>SUBTOTAL(109,INDIRECT("Table_LuT_Deelnemers["&amp;BU$1&amp;"]"))</totalsRowFormula>
    </tableColumn>
    <tableColumn id="31" xr3:uid="{825BFD0D-B1F7-4FBB-9A6B-704841BF3852}" name="Cash Bijdrage" totalsRowFunction="custom" dataDxfId="213" totalsRowDxfId="212">
      <calculatedColumnFormula array="1">INDIRECT("Cash_"&amp;Table_LuT_Deelnemers[[#This Row],[Verkorte Referentienaam Deelnemer]])</calculatedColumnFormula>
      <totalsRowFormula>SUBTOTAL(109,INDIRECT("Table_LuT_Deelnemers["&amp;BV$1&amp;"]"))</totalsRowFormula>
    </tableColumn>
    <tableColumn id="32" xr3:uid="{55BE29A5-7A47-409D-89E7-725EA073A5E7}" name="Cash Ontvangen" totalsRowFunction="custom" dataDxfId="211" totalsRowDxfId="210">
      <calculatedColumnFormula array="1">INDIRECT("Cash_Ontvangen_"&amp;Table_LuT_Deelnemers[[#This Row],[Verkorte Referentienaam Deelnemer]])</calculatedColumnFormula>
      <totalsRowFormula>SUBTOTAL(109,INDIRECT("Table_LuT_Deelnemers["&amp;BW$1&amp;"]"))</totalsRowFormula>
    </tableColumn>
    <tableColumn id="33" xr3:uid="{429DBF0C-CC7F-4F49-92E8-AC40F6BE45C7}" name="In-kind Bijdrage" totalsRowFunction="custom" dataDxfId="209" totalsRowDxfId="208">
      <calculatedColumnFormula array="1">INDIRECT("In_kind_"&amp;Table_LuT_Deelnemers[[#This Row],[Verkorte Referentienaam Deelnemer]])</calculatedColumnFormula>
      <totalsRowFormula>SUBTOTAL(109,INDIRECT("Table_LuT_Deelnemers["&amp;BX$1&amp;"]"))</totalsRowFormula>
    </tableColumn>
    <tableColumn id="34" xr3:uid="{098F09E4-6668-4AE6-BCDE-CEE9FC5CB8A5}" name="Overige Subsidies" totalsRowFunction="custom" dataDxfId="207" totalsRowDxfId="206">
      <calculatedColumnFormula array="1">INDIRECT("Overige_Subsidies_"&amp;Table_LuT_Deelnemers[[#This Row],[Verkorte Referentienaam Deelnemer]])</calculatedColumnFormula>
      <totalsRowFormula>SUBTOTAL(109,INDIRECT("Table_LuT_Deelnemers["&amp;BY$1&amp;"]"))</totalsRowFormula>
    </tableColumn>
    <tableColumn id="44" xr3:uid="{D2A783F1-6B06-4379-927E-C48988E009A2}" name="Gevraagde Subsidie FO" totalsRowFunction="custom" dataDxfId="205" totalsRowDxfId="204">
      <calculatedColumnFormula array="1">INDIRECT("Subsidie_FO_"&amp;Table_LuT_Deelnemers[[#This Row],[Verkorte Referentienaam Deelnemer]])</calculatedColumnFormula>
      <totalsRowFormula>SUBTOTAL(109,INDIRECT("Table_LuT_Deelnemers["&amp;BZ$1&amp;"]"))</totalsRowFormula>
    </tableColumn>
    <tableColumn id="45" xr3:uid="{AB8E3378-7401-46A9-AE34-AE3335DC3516}" name="Gevraagde Subsidie IO" totalsRowFunction="custom" dataDxfId="203" totalsRowDxfId="202">
      <calculatedColumnFormula array="1">INDIRECT("Subsidie_IO_"&amp;Table_LuT_Deelnemers[[#This Row],[Verkorte Referentienaam Deelnemer]])</calculatedColumnFormula>
      <totalsRowFormula>SUBTOTAL(109,INDIRECT("Table_LuT_Deelnemers["&amp;CA$1&amp;"]"))</totalsRowFormula>
    </tableColumn>
    <tableColumn id="46" xr3:uid="{59392CD7-E3F4-496F-BA49-FE869EBC110F}" name="Gevraagde Subsidie EO" totalsRowFunction="custom" dataDxfId="201" totalsRowDxfId="200">
      <calculatedColumnFormula array="1">INDIRECT("Subsidie_EO_"&amp;Table_LuT_Deelnemers[[#This Row],[Verkorte Referentienaam Deelnemer]])</calculatedColumnFormula>
      <totalsRowFormula>SUBTOTAL(109,INDIRECT("Table_LuT_Deelnemers["&amp;CB$1&amp;"]"))</totalsRowFormula>
    </tableColumn>
    <tableColumn id="47" xr3:uid="{AB124A4E-B846-4D77-9F7C-4DD1173E4A52}" name="Gevraagde Subsidie Totaal" totalsRowFunction="custom" dataDxfId="199" totalsRowDxfId="198">
      <calculatedColumnFormula array="1">INDIRECT("Subsidie_"&amp;Table_LuT_Deelnemers[[#This Row],[Verkorte Referentienaam Deelnemer]])</calculatedColumnFormula>
      <totalsRowFormula>SUBTOTAL(109,INDIRECT("Table_LuT_Deelnemers["&amp;CC$1&amp;"]"))</totalsRowFormula>
    </tableColumn>
    <tableColumn id="36" xr3:uid="{C8AAA2D6-6AB6-4DDB-9CA0-B30FA706ABC6}" name="Financiering Totaal" totalsRowFunction="custom" dataDxfId="197" totalsRowDxfId="196">
      <calculatedColumnFormula array="1">INDIRECT("Fin_Tot_"&amp;Table_LuT_Deelnemers[[#This Row],[Verkorte Referentienaam Deelnemer]])</calculatedColumnFormula>
      <totalsRowFormula>SUBTOTAL(109,INDIRECT("Table_LuT_Deelnemers["&amp;CD$1&amp;"]"))</totalsRowFormula>
    </tableColumn>
    <tableColumn id="81" xr3:uid="{699CE15C-094C-48C2-A994-03183C0AC7E9}" name="Gevraagd - Max FO, als &gt;0" totalsRowFunction="custom" dataDxfId="195" totalsRowDxfId="194">
      <calculatedColumnFormula>_xlfn.LET(_xlpm.Var_Delta,Table_LuT_Deelnemers[[#This Row],[Gevraagde Subsidie FO]]-Table_LuT_Deelnemers[[#This Row],[Maximale Subsidie FO - HTSM^overheid]],IF(_xlpm.Var_Delta&gt;0,_xlpm.Var_Delta,0))</calculatedColumnFormula>
      <totalsRowFormula>SUBTOTAL(109,INDIRECT("Table_LuT_Deelnemers["&amp;CE$1&amp;"]"))</totalsRowFormula>
    </tableColumn>
    <tableColumn id="82" xr3:uid="{A5F5A473-9815-4080-97E7-E55CCF1B166A}" name="Gevraagd - Max IO, als &gt;0" totalsRowFunction="custom" dataDxfId="193" totalsRowDxfId="192">
      <calculatedColumnFormula>_xlfn.LET(_xlpm.Var_Delta,Table_LuT_Deelnemers[[#This Row],[Gevraagde Subsidie IO]]-Table_LuT_Deelnemers[[#This Row],[Maximale Subsidie IO - HTSM^overheid]],IF(_xlpm.Var_Delta&gt;0,_xlpm.Var_Delta,0))</calculatedColumnFormula>
      <totalsRowFormula>SUBTOTAL(109,INDIRECT("Table_LuT_Deelnemers["&amp;CF$1&amp;"]"))</totalsRowFormula>
    </tableColumn>
    <tableColumn id="83" xr3:uid="{9AB2D3D5-2995-4C5A-BE5A-D70F0388FE01}" name="Gevraagd - Max EO, als &gt;0" totalsRowFunction="custom" dataDxfId="191" totalsRowDxfId="190">
      <calculatedColumnFormula>_xlfn.LET(_xlpm.Var_Delta,Table_LuT_Deelnemers[[#This Row],[Gevraagde Subsidie EO]]-Table_LuT_Deelnemers[[#This Row],[Maximale Subsidie EO - HTSM^overheid]],IF(_xlpm.Var_Delta&gt;0,_xlpm.Var_Delta,0))</calculatedColumnFormula>
      <totalsRowFormula>SUBTOTAL(109,INDIRECT("Table_LuT_Deelnemers["&amp;CG$1&amp;"]"))</totalsRowFormula>
    </tableColumn>
    <tableColumn id="84" xr3:uid="{7A163D8E-065D-4415-8BC1-2D56A8676007}" name="Gevraagd - Max Totaal" totalsRowFunction="custom" dataDxfId="189" totalsRowDxfId="188">
      <calculatedColumnFormula>_xlfn.LET(_xlpm.Var_Delta,Table_LuT_Deelnemers[[#This Row],[Gevraagde Subsidie Totaal]]-Table_LuT_Deelnemers[[#This Row],[Maximale Subsidie Totaal - HTSM^overheid]],IF(_xlpm.Var_Delta&gt;0,_xlpm.Var_Delta,0))</calculatedColumnFormula>
      <totalsRowFormula>SUBTOTAL(109,INDIRECT("Table_LuT_Deelnemers["&amp;CH$1&amp;"]"))</totalsRowFormula>
    </tableColumn>
    <tableColumn id="58" xr3:uid="{AFE5591D-6298-495F-88ED-7B813FD8C787}" name="SUM Gevraagde Subsidie MKBs" totalsRowFunction="custom" dataDxfId="187" totalsRowDxfId="186">
      <calculatedColumnFormula>SUMIFS(Table_LuT_Deelnemers[Gevraagde Subsidie Totaal],Table_LuT_Deelnemers[Is MKB?],TRUE)</calculatedColumnFormula>
      <totalsRowFormula>SUBTOTAL(101,INDIRECT("Table_LuT_Deelnemers["&amp;CI$1&amp;"]"))</totalsRowFormula>
    </tableColumn>
    <tableColumn id="59" xr3:uid="{0A74D361-E28F-4E42-8693-DE8BDC7FE33D}" name="SUM Gevraagde Subsidie OOs" totalsRowFunction="custom" dataDxfId="185" totalsRowDxfId="184">
      <calculatedColumnFormula>SUMIFS(Table_LuT_Deelnemers[Gevraagde Subsidie Totaal],Table_LuT_Deelnemers[Is OO?],TRUE)</calculatedColumnFormula>
      <totalsRowFormula>SUBTOTAL(101,INDIRECT("Table_LuT_Deelnemers["&amp;CJ$1&amp;"]"))</totalsRowFormula>
    </tableColumn>
    <tableColumn id="60" xr3:uid="{E87B426E-213C-405D-9543-2B6A3BA50353}" name="SUM Maximale Subsidie MKBs &lt;= € 300,000, als MKB-call" totalsRowFunction="custom" dataDxfId="183" totalsRowDxfId="182">
      <calculatedColumnFormula array="1">IF(Var_Sub.instr.="MKB",Table_LuT_Deelnemers[[#This Row],[SUM Gevraagde Subsidie MKBs]]&lt;=Var_MaxSub_MKB_call_MKB,TRUE)</calculatedColumnFormula>
      <totalsRowFormula>AND(INDIRECT("Table_LuT_Deelnemers["&amp;CK$1&amp;"]"))</totalsRowFormula>
    </tableColumn>
    <tableColumn id="61" xr3:uid="{A722A094-867A-451C-BD18-80F5B10C0860}" name="SUM Maximale Subsidie OOs &lt;= € 150,000, als MKB-call" totalsRowFunction="custom" dataDxfId="181" totalsRowDxfId="180">
      <calculatedColumnFormula array="1">IF(Var_Sub.instr.="MKB",Table_LuT_Deelnemers[[#This Row],[SUM Gevraagde Subsidie OOs]]&lt;=Var_MaxSub_MKB_call_OO,TRUE)</calculatedColumnFormula>
      <totalsRowFormula>AND(INDIRECT("Table_LuT_Deelnemers["&amp;CL$1&amp;"]"))</totalsRowFormula>
    </tableColumn>
    <tableColumn id="95" xr3:uid="{D8063757-9A92-4A4F-9300-2AEBF27D25D7}" name="Maximale Subsidie FO - overheid" totalsRowFunction="custom" dataDxfId="179" totalsRowDxfId="178">
      <calculatedColumnFormula>SUMIFS(Table_LuT_Begroting_Deelnemers[Maximale Subsidie - overheid],Table_LuT_Begroting_Deelnemers[Verkorte Referentienaam Deelnemer],Table_LuT_Deelnemers[[#This Row],[Verkorte Referentienaam Deelnemer]],Table_LuT_Begroting_Deelnemers[FO | IO | EO],"FO")</calculatedColumnFormula>
      <totalsRowFormula>SUBTOTAL(109,INDIRECT("Table_LuT_Deelnemers["&amp;CM$1&amp;"]"))</totalsRowFormula>
    </tableColumn>
    <tableColumn id="96" xr3:uid="{BA708245-24EC-40CB-8837-7DF73AA76AF9}" name="Maximale Subsidie IO - overheid" totalsRowFunction="custom" dataDxfId="177" totalsRowDxfId="176">
      <calculatedColumnFormula>SUMIFS(Table_LuT_Begroting_Deelnemers[Maximale Subsidie - overheid],Table_LuT_Begroting_Deelnemers[Verkorte Referentienaam Deelnemer],Table_LuT_Deelnemers[[#This Row],[Verkorte Referentienaam Deelnemer]],Table_LuT_Begroting_Deelnemers[FO | IO | EO],"IO")</calculatedColumnFormula>
      <totalsRowFormula>SUBTOTAL(109,INDIRECT("Table_LuT_Deelnemers["&amp;CN$1&amp;"]"))</totalsRowFormula>
    </tableColumn>
    <tableColumn id="97" xr3:uid="{A1AAC5E5-292F-491B-BA4F-8C61A8DB1C5F}" name="Maximale Subsidie EO - overheid" totalsRowFunction="custom" dataDxfId="175" totalsRowDxfId="174">
      <calculatedColumnFormula>SUMIFS(Table_LuT_Begroting_Deelnemers[Maximale Subsidie - overheid],Table_LuT_Begroting_Deelnemers[Verkorte Referentienaam Deelnemer],Table_LuT_Deelnemers[[#This Row],[Verkorte Referentienaam Deelnemer]],Table_LuT_Begroting_Deelnemers[FO | IO | EO],"EO")</calculatedColumnFormula>
      <totalsRowFormula>SUBTOTAL(109,INDIRECT("Table_LuT_Deelnemers["&amp;CO$1&amp;"]"))</totalsRowFormula>
    </tableColumn>
    <tableColumn id="98" xr3:uid="{961BF29F-2261-4ECD-9B32-045781C10C6B}" name="Maximale Subsidie Totaal - overheid" totalsRowFunction="custom" dataDxfId="173" totalsRowDxfId="172">
      <calculatedColumnFormula>SUMIFS(Table_LuT_Begroting_Deelnemers[Maximale Subsidie - overheid],Table_LuT_Begroting_Deelnemers[Verkorte Referentienaam Deelnemer],Table_LuT_Deelnemers[[#This Row],[Verkorte Referentienaam Deelnemer]])</calculatedColumnFormula>
      <totalsRowFormula>SUBTOTAL(109,INDIRECT("Table_LuT_Deelnemers["&amp;CP$1&amp;"]"))</totalsRowFormula>
    </tableColumn>
    <tableColumn id="99" xr3:uid="{28D3F1EE-DE77-44C5-82FE-D48C81FB4631}" name="Maximale Subsidie FO - HTSM^overheid" totalsRowFunction="custom" dataDxfId="171" totalsRowDxfId="170">
      <calculatedColumnFormula>IF(Table_LuT_Deelnemers[[#This Row],[Is OO?]],Table_LuT_Deelnemers[[#This Row],[Maximale Subsidie FO - overheid]],Table_LuT_Deelnemers[[#This Row],[Maximale Subsidie FO - HTSM]])</calculatedColumnFormula>
      <totalsRowFormula>SUBTOTAL(109,INDIRECT("Table_LuT_Deelnemers["&amp;CQ$1&amp;"]"))</totalsRowFormula>
    </tableColumn>
    <tableColumn id="100" xr3:uid="{BC4A4D4C-21AC-4EFA-9BC2-A16B0D744EC4}" name="Maximale Subsidie IO - HTSM^overheid" totalsRowFunction="custom" dataDxfId="169" totalsRowDxfId="168">
      <calculatedColumnFormula>IF(Table_LuT_Deelnemers[[#This Row],[Is OO?]],Table_LuT_Deelnemers[[#This Row],[Maximale Subsidie IO - overheid]],Table_LuT_Deelnemers[[#This Row],[Maximale Subsidie IO - HTSM]])</calculatedColumnFormula>
      <totalsRowFormula>SUBTOTAL(109,INDIRECT("Table_LuT_Deelnemers["&amp;CR$1&amp;"]"))</totalsRowFormula>
    </tableColumn>
    <tableColumn id="101" xr3:uid="{ACF49558-5E00-4368-B669-88D6F724B93D}" name="Maximale Subsidie EO - HTSM^overheid" totalsRowFunction="custom" dataDxfId="167" totalsRowDxfId="166">
      <calculatedColumnFormula>IF(Table_LuT_Deelnemers[[#This Row],[Is OO?]],Table_LuT_Deelnemers[[#This Row],[Maximale Subsidie EO - overheid]],Table_LuT_Deelnemers[[#This Row],[Maximale Subsidie EO - HTSM]])</calculatedColumnFormula>
      <totalsRowFormula>SUBTOTAL(109,INDIRECT("Table_LuT_Deelnemers["&amp;CS$1&amp;"]"))</totalsRowFormula>
    </tableColumn>
    <tableColumn id="102" xr3:uid="{BFCF7687-1578-4937-A66A-4E6C443C4C0E}" name="Maximale Subsidie Totaal - HTSM^overheid" totalsRowFunction="custom" dataDxfId="165" totalsRowDxfId="164">
      <calculatedColumnFormula>IF(Table_LuT_Deelnemers[[#This Row],[Is OO?]],Table_LuT_Deelnemers[[#This Row],[Maximale Subsidie Totaal - overheid]],Table_LuT_Deelnemers[[#This Row],[Maximale Subsidie Totaal - HTSM]])</calculatedColumnFormula>
      <totalsRowFormula>SUBTOTAL(109,INDIRECT("Table_LuT_Deelnemers["&amp;CT$1&amp;"]"))</totalsRowFormula>
    </tableColumn>
    <tableColumn id="89" xr3:uid="{E8875BCD-B031-4702-8CF3-FD6FD2ECC3BE}" name="SUM Gevraagde Subsidie OO" totalsRowFunction="custom" dataDxfId="163" totalsRowDxfId="162">
      <calculatedColumnFormula>SUMIFS(Table_LuT_Deelnemers[Gevraagde Subsidie Totaal],Table_LuT_Deelnemers[Is OO?],TRUE)</calculatedColumnFormula>
      <totalsRowFormula>SUBTOTAL(101,INDIRECT("Table_LuT_Deelnemers["&amp;CU$1&amp;"]"))</totalsRowFormula>
    </tableColumn>
    <tableColumn id="90" xr3:uid="{05872A96-C119-4832-A777-EAB34DDA2397}" name="SUM  Maximale Subsidie - OO - overheid" totalsRowFunction="custom" dataDxfId="161" totalsRowDxfId="160">
      <calculatedColumnFormula>SUMIFS(Table_LuT_Begroting_Deelnemers[Maximale Subsidie OO - overheid],Table_LuT_Begroting_Deelnemers[Is OO?],TRUE)</calculatedColumnFormula>
      <totalsRowFormula>SUBTOTAL(101,INDIRECT("Table_LuT_Deelnemers["&amp;CV$1&amp;"]"))</totalsRowFormula>
    </tableColumn>
    <tableColumn id="91" xr3:uid="{48D9A5C7-0B00-45C5-B6E8-6F05B7BCE0B0}" name="SUM Maximale Subsidie - OO - HTSM" totalsRowFunction="custom" dataDxfId="159" totalsRowDxfId="158">
      <calculatedColumnFormula>SUMIFS(Table_LuT_Begroting_Deelnemers[Maximale Subsidie OO - HTSM],Table_LuT_Begroting_Deelnemers[Is OO?],TRUE)</calculatedColumnFormula>
      <totalsRowFormula>SUBTOTAL(101,INDIRECT("Table_LuT_Deelnemers["&amp;CW$1&amp;"]"))</totalsRowFormula>
    </tableColumn>
    <tableColumn id="92" xr3:uid="{7CB44AF6-BF91-4CA2-BCAF-9BE0B06E17B8}" name="SUM Maximale Subsidie - MKB - HTSM" totalsRowFunction="custom" dataDxfId="157" totalsRowDxfId="156">
      <calculatedColumnFormula>SUMIFS(Table_LuT_Begroting_Deelnemers[Maximale Subsidie MKB - HTSM],Table_LuT_Begroting_Deelnemers[Is MKB?],TRUE)</calculatedColumnFormula>
      <totalsRowFormula>SUBTOTAL(101,INDIRECT("Table_LuT_Deelnemers["&amp;CX$1&amp;"]"))</totalsRowFormula>
    </tableColumn>
    <tableColumn id="93" xr3:uid="{0BBFAE98-4BAD-4893-B10D-7E26B3B7BDAF}" name="SUM Maximale Subsidie - OO+MKB - HTSM" totalsRowFunction="custom" dataDxfId="155" totalsRowDxfId="154">
      <calculatedColumnFormula>Table_LuT_Deelnemers[[#This Row],[SUM Maximale Subsidie - OO - HTSM]]+Table_LuT_Deelnemers[[#This Row],[SUM Maximale Subsidie - MKB - HTSM]]</calculatedColumnFormula>
      <totalsRowFormula>SUBTOTAL(101,INDIRECT("Table_LuT_Deelnemers["&amp;CY$1&amp;"]"))</totalsRowFormula>
    </tableColumn>
    <tableColumn id="94" xr3:uid="{BA3B74C2-10A1-4A2F-A7E7-A9C0DD9E141A}" name="MIN(SUM Max OO - overheid,SUM Max OO+MKB - HTSM)" totalsRowFunction="custom" dataDxfId="153" totalsRowDxfId="152">
      <calculatedColumnFormula>MIN(Table_LuT_Deelnemers[[#This Row],[SUM  Maximale Subsidie - OO - overheid]],Table_LuT_Deelnemers[[#This Row],[SUM Maximale Subsidie - OO+MKB - HTSM]])</calculatedColumnFormula>
      <totalsRowFormula>SUBTOTAL(101,INDIRECT("Table_LuT_Deelnemers["&amp;CZ$1&amp;"]"))</totalsRowFormula>
    </tableColum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AC3CBC-C5B6-41CB-A754-CE5B98AF7DE6}" name="Table_LuT_Begroting_Deelnemers" displayName="Table_LuT_Begroting_Deelnemers" ref="A1:AV62" totalsRowCount="1" headerRowDxfId="151" dataDxfId="150" totalsRowDxfId="149">
  <autoFilter ref="A1:AV61" xr:uid="{66355DEC-1D20-4AFD-9FE2-7B92A4303151}"/>
  <tableColumns count="48">
    <tableColumn id="6" xr3:uid="{E9DEF675-2A84-4953-A652-BF7D36BD1119}" name="ID Deelnemer" totalsRowLabel="Total" dataDxfId="148" totalsRowDxfId="147"/>
    <tableColumn id="3" xr3:uid="{BA0CFB4D-CEA9-4D29-A008-0C115EE65CBC}" name="FO | IO | EO" dataDxfId="146" totalsRowDxfId="145"/>
    <tableColumn id="25" xr3:uid="{6846BC32-0E6B-4C52-B568-B61F998B9418}" name="Verkorte Referentienaam Deelnemer" dataDxfId="144" totalsRowDxfId="143">
      <calculatedColumnFormula>_xlfn.XLOOKUP(Table_LuT_Begroting_Deelnemers[[#This Row],[ID Deelnemer]],Table_LuT_Deelnemers[ID Deelnemer],Table_LuT_Deelnemers[Verkorte Referentienaam Deelnemer],"&lt;Not in LuT&gt;",0,1)</calculatedColumnFormula>
    </tableColumn>
    <tableColumn id="7" xr3:uid="{8921CF50-03DB-43E8-9CD4-AD11857C4B45}" name="ID Deelnemer # FO | IO | EO" dataDxfId="142" totalsRowDxfId="141">
      <calculatedColumnFormula>Table_LuT_Begroting_Deelnemers[[#This Row],[ID Deelnemer]]&amp;" # "&amp;Table_LuT_Begroting_Deelnemers[[#This Row],[FO | IO | EO]]</calculatedColumnFormula>
    </tableColumn>
    <tableColumn id="19" xr3:uid="{F099301C-52E2-4DAB-ABB7-8A212D232573}" name="Is MKB?" dataDxfId="140" totalsRowDxfId="139">
      <calculatedColumnFormula array="1">_xlfn.XLOOKUP(Table_LuT_Begroting_Deelnemers[[#This Row],[ID Deelnemer]],Table_LuT_Deelnemers[ID Deelnemer],INDIRECT("Table_LuT_Deelnemers["&amp;E$1&amp;"]"),"&lt;Not in LuT&gt;",0,1)</calculatedColumnFormula>
    </tableColumn>
    <tableColumn id="2" xr3:uid="{3D3A2772-852E-4B48-A459-6C0A5E2DEAEF}" name="Is OO?" dataDxfId="138" totalsRowDxfId="137">
      <calculatedColumnFormula array="1">_xlfn.XLOOKUP(Table_LuT_Begroting_Deelnemers[[#This Row],[ID Deelnemer]],Table_LuT_Deelnemers[ID Deelnemer],INDIRECT("Table_LuT_Deelnemers["&amp;F$1&amp;"]"),"&lt;Not in LuT&gt;",0,1)</calculatedColumnFormula>
    </tableColumn>
    <tableColumn id="1" xr3:uid="{80AE8CF7-5EC3-4802-B4FD-4D82E35F1B42}" name="Is Penvoerder?" dataDxfId="136" totalsRowDxfId="135">
      <calculatedColumnFormula array="1">_xlfn.XLOOKUP(Table_LuT_Begroting_Deelnemers[[#This Row],[ID Deelnemer]],Table_LuT_Deelnemers[ID Deelnemer],INDIRECT("Table_LuT_Deelnemers["&amp;G$1&amp;"]"),"&lt;Not in LuT&gt;",0,1)</calculatedColumnFormula>
    </tableColumn>
    <tableColumn id="12" xr3:uid="{7B4885DB-60BD-4799-81DE-6AA16A65B531}" name="Is MKB-Consortium?" dataDxfId="134" totalsRowDxfId="133">
      <calculatedColumnFormula array="1">Var_MKB_Consortium</calculatedColumnFormula>
    </tableColumn>
    <tableColumn id="42" xr3:uid="{B02D3B0A-5E56-4D2F-A2B1-545F1ECE221C}" name="Is OO of niet-economisch?" dataDxfId="132" totalsRowDxfId="131">
      <calculatedColumnFormula>Table_LuT_Begroting_Deelnemers[[#This Row],[Is OO?]]</calculatedColumnFormula>
    </tableColumn>
    <tableColumn id="4" xr3:uid="{EA83A79C-14E8-4C34-9B4F-8586239EFC65}" name="Naam Organisatie" dataDxfId="130" totalsRowDxfId="129">
      <calculatedColumnFormula array="1">_xlfn.XLOOKUP(Table_LuT_Begroting_Deelnemers[[#This Row],[ID Deelnemer]],Table_LuT_Deelnemers[ID Deelnemer],INDIRECT("Table_LuT_Deelnemers["&amp;J$1&amp;"]"),"&lt;Not in LuT&gt;",0,1)</calculatedColumnFormula>
    </tableColumn>
    <tableColumn id="5" xr3:uid="{1CA9F1B2-2D38-4A97-9174-CC8FC62B44BE}" name="Type Organisatie" dataDxfId="128" totalsRowDxfId="127">
      <calculatedColumnFormula array="1">_xlfn.XLOOKUP(Table_LuT_Begroting_Deelnemers[[#This Row],[ID Deelnemer]],Table_LuT_Deelnemers[ID Deelnemer],INDIRECT("Table_LuT_Deelnemers["&amp;K$1&amp;"]"),"&lt;Not in LuT&gt;",0,1)</calculatedColumnFormula>
    </tableColumn>
    <tableColumn id="8" xr3:uid="{5D56E48A-823C-4D0F-9786-DD159D9A3545}" name="Kosten" totalsRowFunction="custom" dataDxfId="126" totalsRowDxfId="125">
      <calculatedColumnFormula array="1">INDIRECT("'"&amp;$A2&amp;"'!Kosten_"&amp;Table_LuT_Begroting_Deelnemers[[#This Row],[FO | IO | EO]])</calculatedColumnFormula>
      <totalsRowFormula>SUBTOTAL(109,INDIRECT("Table_LuT_Begroting_Deelnemers["&amp;L$1&amp;"]"))</totalsRowFormula>
    </tableColumn>
    <tableColumn id="9" xr3:uid="{668D2AD6-60CD-4C1C-B839-2949CE89E403}" name="Maximale Subsidie - HTSM" totalsRowFunction="custom" dataDxfId="124" totalsRowDxfId="123">
      <calculatedColumnFormula array="1">_xlfn.LET(_xlpm.maxsub_aux,INDIRECT("'"&amp;$A2&amp;"'!Max_Subsidie_"&amp;Table_LuT_Begroting_Deelnemers[[#This Row],[FO | IO | EO]]),IF(Var_Sub.instr.="MKB",IF(Table_LuT_Begroting_Deelnemers[[#This Row],[Is MKB?]],MIN(_xlpm.maxsub_aux,Var_MaxSub_MKB_call_MKB),MIN(_xlpm.maxsub_aux,Var_MaxSub_MKB_call_OO)),_xlpm.maxsub_aux))</calculatedColumnFormula>
      <totalsRowFormula>SUBTOTAL(109,INDIRECT("Table_LuT_Begroting_Deelnemers["&amp;M$1&amp;"]"))</totalsRowFormula>
    </tableColumn>
    <tableColumn id="23" xr3:uid="{CF152A4E-BE7C-42BC-AABF-37B3C073A2C8}" name="Kosten - Maximale Subsidie - HTSM" totalsRowFunction="custom" dataDxfId="122" totalsRowDxfId="121">
      <calculatedColumnFormula>Table_LuT_Begroting_Deelnemers[[#This Row],[Kosten]]-Table_LuT_Begroting_Deelnemers[[#This Row],[Maximale Subsidie - HTSM]]</calculatedColumnFormula>
      <totalsRowFormula>SUBTOTAL(109,INDIRECT("Table_LuT_Begroting_Deelnemers["&amp;N$1&amp;"]"))</totalsRowFormula>
    </tableColumn>
    <tableColumn id="41" xr3:uid="{276BF798-4151-493D-8C2C-05CA1B98CC25}" name="Maximale Subsidie % - wettelijk" dataDxfId="120" totalsRowDxfId="119" dataCellStyle="Percent">
      <calculatedColumnFormula array="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calculatedColumnFormula>
    </tableColumn>
    <tableColumn id="44" xr3:uid="{F4969B22-09FD-4353-BD18-C9A42A1124BE}" name="Maximale Subsidie - overheid" totalsRowFunction="custom" dataDxfId="118" totalsRowDxfId="117" dataCellStyle="Percent">
      <calculatedColumnFormula>Table_LuT_Begroting_Deelnemers[[#This Row],[Maximale Subsidie % - wettelijk]]*Table_LuT_Begroting_Deelnemers[[#This Row],[Kosten]]</calculatedColumnFormula>
      <totalsRowFormula>SUBTOTAL(109,INDIRECT("Table_LuT_Begroting_Deelnemers["&amp;P$1&amp;"]"))</totalsRowFormula>
    </tableColumn>
    <tableColumn id="22" xr3:uid="{6347F155-0B7E-47C4-A5BF-4B0BCE8BFEC0}" name="Kosten OO" totalsRowFunction="custom" dataDxfId="116" totalsRowDxfId="115">
      <calculatedColumnFormula>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calculatedColumnFormula>
      <totalsRowFormula>SUBTOTAL(109,INDIRECT("Table_LuT_Begroting_Deelnemers["&amp;Q$1&amp;"]"))</totalsRowFormula>
    </tableColumn>
    <tableColumn id="34" xr3:uid="{352F6A73-F584-4E3B-9D90-91745C8A63AB}" name="Gevraagde Subsidie Totaal OO" totalsRowFunction="custom" dataDxfId="114" totalsRowDxfId="113">
      <calculatedColumnFormula>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calculatedColumnFormula>
      <totalsRowFormula>SUBTOTAL(109,INDIRECT("Table_LuT_Begroting_Deelnemers["&amp;R$1&amp;"]"))</totalsRowFormula>
    </tableColumn>
    <tableColumn id="21" xr3:uid="{709C9749-EFD2-430B-8E6B-8457ECCD5A73}" name="Maximale Subsidie OO - HTSM" totalsRowFunction="custom" dataDxfId="112" totalsRowDxfId="111">
      <calculatedColumnFormula>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calculatedColumnFormula>
      <totalsRowFormula>SUBTOTAL(109,INDIRECT("Table_LuT_Begroting_Deelnemers["&amp;S$1&amp;"]"))</totalsRowFormula>
    </tableColumn>
    <tableColumn id="18" xr3:uid="{5597CA83-3EC8-4A7E-AC1F-5593ACE094E4}" name="Kosten - Maximale Subsidie OO - HTSM" totalsRowFunction="custom" dataDxfId="110" totalsRowDxfId="109">
      <calculatedColumnFormula>Table_LuT_Begroting_Deelnemers[[#This Row],[Kosten OO]]-Table_LuT_Begroting_Deelnemers[[#This Row],[Maximale Subsidie OO - HTSM]]</calculatedColumnFormula>
      <totalsRowFormula>SUBTOTAL(109,INDIRECT("Table_LuT_Begroting_Deelnemers["&amp;T$1&amp;"]"))</totalsRowFormula>
    </tableColumn>
    <tableColumn id="33" xr3:uid="{3FC8A234-3440-4998-AFD8-A683209DC41F}" name="Maximale Subsidie OO - overheid" totalsRowFunction="custom" dataDxfId="108" totalsRowDxfId="107">
      <calculatedColumnFormula>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calculatedColumnFormula>
      <totalsRowFormula>SUBTOTAL(109,INDIRECT("Table_LuT_Begroting_Deelnemers["&amp;U$1&amp;"]"))</totalsRowFormula>
    </tableColumn>
    <tableColumn id="27" xr3:uid="{59D84F3B-A2AF-41ED-85FE-3139FCF0CD17}" name="Kosten PP" totalsRowFunction="custom" dataDxfId="106" totalsRowDxfId="105">
      <calculatedColumnFormula>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calculatedColumnFormula>
      <totalsRowFormula>SUBTOTAL(109,INDIRECT("Table_LuT_Begroting_Deelnemers["&amp;V$1&amp;"]"))</totalsRowFormula>
    </tableColumn>
    <tableColumn id="28" xr3:uid="{1D7FB6B8-E217-4B76-9EE4-6091070ECA27}" name="Gevraagde Subsidie Totaal PP" totalsRowFunction="custom" dataDxfId="104" totalsRowDxfId="103">
      <calculatedColumnFormula>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calculatedColumnFormula>
      <totalsRowFormula>SUBTOTAL(109,INDIRECT("Table_LuT_Begroting_Deelnemers["&amp;W$1&amp;"]"))</totalsRowFormula>
    </tableColumn>
    <tableColumn id="36" xr3:uid="{63D7A613-DB97-4965-9CAF-482A0F7697C0}" name="Maximale Subsidie PP - HTSM" totalsRowFunction="custom" dataDxfId="102" totalsRowDxfId="101">
      <calculatedColumnFormula>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calculatedColumnFormula>
      <totalsRowFormula>SUBTOTAL(109,INDIRECT("Table_LuT_Begroting_Deelnemers["&amp;X$1&amp;"]"))</totalsRowFormula>
    </tableColumn>
    <tableColumn id="35" xr3:uid="{78D2FC9C-88A3-40E4-9176-134B48D09D63}" name="Kosten - Maximale Subsidie PP - HTSM" totalsRowFunction="custom" dataDxfId="100" totalsRowDxfId="99">
      <calculatedColumnFormula>Table_LuT_Begroting_Deelnemers[[#This Row],[Kosten PP]]-Table_LuT_Begroting_Deelnemers[[#This Row],[Maximale Subsidie PP - HTSM]]</calculatedColumnFormula>
      <totalsRowFormula>SUBTOTAL(109,INDIRECT("Table_LuT_Begroting_Deelnemers["&amp;Y$1&amp;"]"))</totalsRowFormula>
    </tableColumn>
    <tableColumn id="43" xr3:uid="{92AB60DB-DB07-4890-B6AF-0DEE5A1C8FE9}" name="Maximale Subsidie PP - overheid" totalsRowFunction="custom" dataDxfId="98" totalsRowDxfId="97">
      <calculatedColumnFormula>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calculatedColumnFormula>
      <totalsRowFormula>SUBTOTAL(109,INDIRECT("Table_LuT_Begroting_Deelnemers["&amp;Z$1&amp;"]"))</totalsRowFormula>
    </tableColumn>
    <tableColumn id="29" xr3:uid="{BDC3CFEA-6F00-40AE-B07E-093941EE6259}" name="Kosten GB" totalsRowFunction="custom" dataDxfId="96" totalsRowDxfId="95">
      <calculatedColumnFormula>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calculatedColumnFormula>
      <totalsRowFormula>SUBTOTAL(109,INDIRECT("Table_LuT_Begroting_Deelnemers["&amp;AA$1&amp;"]"))</totalsRowFormula>
    </tableColumn>
    <tableColumn id="30" xr3:uid="{C2FC0769-C4F5-422A-8D43-7BF14ECE3966}" name="Gevraagde Subsidie Totaal GB" totalsRowFunction="custom" dataDxfId="94" totalsRowDxfId="93">
      <calculatedColumnFormula>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calculatedColumnFormula>
      <totalsRowFormula>SUBTOTAL(109,INDIRECT("Table_LuT_Begroting_Deelnemers["&amp;AB$1&amp;"]"))</totalsRowFormula>
    </tableColumn>
    <tableColumn id="38" xr3:uid="{466857E6-BF74-4F1F-ADE5-9DB6A56B7C3C}" name="Maximale Subsidie GB - HTSM" totalsRowFunction="custom" dataDxfId="92" totalsRowDxfId="91">
      <calculatedColumnFormula>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calculatedColumnFormula>
      <totalsRowFormula>SUBTOTAL(109,INDIRECT("Table_LuT_Begroting_Deelnemers["&amp;AC$1&amp;"]"))</totalsRowFormula>
    </tableColumn>
    <tableColumn id="37" xr3:uid="{336B084C-DA9C-4EEE-88A8-3F2BB40E7792}" name="Kosten - Maximale Subsidie GB" totalsRowFunction="custom" dataDxfId="90" totalsRowDxfId="89">
      <calculatedColumnFormula>Table_LuT_Begroting_Deelnemers[[#This Row],[Kosten GB]]-Table_LuT_Begroting_Deelnemers[[#This Row],[Maximale Subsidie GB - HTSM]]</calculatedColumnFormula>
      <totalsRowFormula>SUBTOTAL(109,INDIRECT("Table_LuT_Begroting_Deelnemers["&amp;AD$1&amp;"]"))</totalsRowFormula>
    </tableColumn>
    <tableColumn id="45" xr3:uid="{DA74A032-4B28-436E-8855-73ADD0194098}" name="Maximale Subsidie GB - overheid" totalsRowFunction="custom" dataDxfId="88" totalsRowDxfId="87">
      <calculatedColumnFormula>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calculatedColumnFormula>
      <totalsRowFormula>SUBTOTAL(109,INDIRECT("Table_LuT_Begroting_Deelnemers["&amp;AE$1&amp;"]"))</totalsRowFormula>
    </tableColumn>
    <tableColumn id="31" xr3:uid="{9CB31859-ECC1-45C0-95C1-B1CCAF5A3D88}" name="Kosten MKB" totalsRowFunction="custom" dataDxfId="86" totalsRowDxfId="85">
      <calculatedColumnFormula>SUMIFS(Table_LuT_Begroting_Deelnemers[Kosten],Table_LuT_Begroting_Deelnemers[ID Deelnemer],Table_LuT_Begroting_Deelnemers[[#This Row],[ID Deelnemer]],Table_LuT_Begroting_Deelnemers[FO | IO | EO],Table_LuT_Begroting_Deelnemers[[#This Row],[FO | IO | EO]],Table_LuT_Begroting_Deelnemers[Type Organisatie],"="&amp;"MKB")</calculatedColumnFormula>
      <totalsRowFormula>SUBTOTAL(109,INDIRECT("Table_LuT_Begroting_Deelnemers["&amp;AF$1&amp;"]"))</totalsRowFormula>
    </tableColumn>
    <tableColumn id="32" xr3:uid="{D18027EE-94DE-4F3C-A2A2-B8B7A96987BF}" name="Gevraagde Subsidie Totaal MKB" totalsRowFunction="custom" dataDxfId="84" totalsRowDxfId="83">
      <calculatedColumnFormula>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calculatedColumnFormula>
      <totalsRowFormula>SUBTOTAL(109,INDIRECT("Table_LuT_Begroting_Deelnemers["&amp;AG$1&amp;"]"))</totalsRowFormula>
    </tableColumn>
    <tableColumn id="40" xr3:uid="{1AD886C0-C548-40DC-A5EB-08952528CED6}" name="Maximale Subsidie MKB - HTSM" totalsRowFunction="custom" dataDxfId="82" totalsRowDxfId="81">
      <calculatedColumnFormula>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calculatedColumnFormula>
      <totalsRowFormula>SUBTOTAL(109,INDIRECT("Table_LuT_Begroting_Deelnemers["&amp;AH$1&amp;"]"))</totalsRowFormula>
    </tableColumn>
    <tableColumn id="39" xr3:uid="{8B12F69C-129A-41AA-BB5C-564D41F44752}" name="Kosten - Maximale Subsidie MKB" totalsRowFunction="custom" dataDxfId="80" totalsRowDxfId="79">
      <calculatedColumnFormula>Table_LuT_Begroting_Deelnemers[[#This Row],[Kosten MKB]]-Table_LuT_Begroting_Deelnemers[[#This Row],[Maximale Subsidie MKB - HTSM]]</calculatedColumnFormula>
      <totalsRowFormula>SUBTOTAL(109,INDIRECT("Table_LuT_Begroting_Deelnemers["&amp;AI$1&amp;"]"))</totalsRowFormula>
    </tableColumn>
    <tableColumn id="46" xr3:uid="{DEF6FFA5-D664-4129-A0DF-26BBC0C79362}" name="Maximale Subsidie MKB - overheid" totalsRowFunction="custom" dataDxfId="78" totalsRowDxfId="77">
      <calculatedColumnFormula>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calculatedColumnFormula>
      <totalsRowFormula>SUBTOTAL(109,INDIRECT("Table_LuT_Begroting_Deelnemers["&amp;AJ$1&amp;"]"))</totalsRowFormula>
    </tableColumn>
    <tableColumn id="48" xr3:uid="{19D26ADC-BE13-4BBF-A553-C4C6B4A372B6}" name="Gegenereerde Subsidie - OO+MKB" totalsRowFunction="custom" dataDxfId="76" totalsRowDxfId="75">
      <calculatedColumnFormula>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calculatedColumnFormula>
      <totalsRowFormula>SUBTOTAL(109,INDIRECT("Table_LuT_Begroting_Deelnemers["&amp;AK$1&amp;"]"))</totalsRowFormula>
    </tableColumn>
    <tableColumn id="49" xr3:uid="{14BA5B5A-FB42-4317-BC51-48EB4BB66E41}" name="MIN(Gegeneerde Subsidie,Maximale Subsidie OO - overheid)" totalsRowFunction="custom" dataDxfId="74" totalsRowDxfId="73">
      <calculatedColumnFormula>MIN(Table_LuT_Begroting_Deelnemers[[#This Row],[Gegenereerde Subsidie - OO+MKB]],Table_LuT_Begroting_Deelnemers[[#This Row],[Maximale Subsidie OO - overheid]])</calculatedColumnFormula>
      <totalsRowFormula>SUBTOTAL(109,INDIRECT("Table_LuT_Begroting_Deelnemers["&amp;AL$1&amp;"]"))</totalsRowFormula>
    </tableColumn>
    <tableColumn id="10" xr3:uid="{5EBE69D4-47BC-4B6F-A425-B9E9FC5A8608}" name="Minimale co-funding - Cash" totalsRowFunction="custom" dataDxfId="72" totalsRowDxfId="71">
      <calculatedColumnFormula array="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calculatedColumnFormula>
      <totalsRowFormula>SUBTOTAL(109,INDIRECT("Table_LuT_Begroting_Deelnemers["&amp;AM$1&amp;"]"))</totalsRowFormula>
    </tableColumn>
    <tableColumn id="24" xr3:uid="{05B0F90D-B3AD-463F-A45F-CB455B3EB8AB}" name="Cash Bijdrage" totalsRowFunction="custom" dataDxfId="70" totalsRowDxfId="69">
      <calculatedColumnFormula array="1">IF(Table_LuT_Begroting_Deelnemers[[#This Row],[FO | IO | EO]]="FO",INDIRECT("Cash_"&amp;Table_LuT_Begroting_Deelnemers[[#This Row],[Verkorte Referentienaam Deelnemer]]),0)</calculatedColumnFormula>
      <totalsRowFormula>SUBTOTAL(109,INDIRECT("Table_LuT_Begroting_Deelnemers["&amp;AN$1&amp;"]"))</totalsRowFormula>
    </tableColumn>
    <tableColumn id="20" xr3:uid="{CB2C9E6F-AFF1-4188-8585-07EBE24D33FC}" name="Cash Ontvangen" totalsRowFunction="custom" dataDxfId="68" totalsRowDxfId="67">
      <calculatedColumnFormula array="1">IF(Table_LuT_Begroting_Deelnemers[[#This Row],[FO | IO | EO]]="FO",INDIRECT("Cash_Ontvangen_"&amp;Table_LuT_Begroting_Deelnemers[[#This Row],[Verkorte Referentienaam Deelnemer]]),0)</calculatedColumnFormula>
      <totalsRowFormula>SUBTOTAL(109,INDIRECT("Table_LuT_Begroting_Deelnemers["&amp;AO$1&amp;"]"))</totalsRowFormula>
    </tableColumn>
    <tableColumn id="26" xr3:uid="{82290919-0076-4E54-BBB3-955509FA5614}" name="Cash Ontvangen OO" totalsRowFunction="custom" dataDxfId="66" totalsRowDxfId="65">
      <calculatedColumnFormula>IF(Table_LuT_Begroting_Deelnemers[[#This Row],[Is OO?]],Table_LuT_Begroting_Deelnemers[[#This Row],[Cash Ontvangen]],0)</calculatedColumnFormula>
      <totalsRowFormula>SUBTOTAL(109,INDIRECT("Table_LuT_Begroting_Deelnemers["&amp;AP$1&amp;"]"))</totalsRowFormula>
    </tableColumn>
    <tableColumn id="17" xr3:uid="{FE05C27E-70B3-4552-827B-C6455A4A602E}" name="In-kind Bijdrage" totalsRowFunction="custom" dataDxfId="64" totalsRowDxfId="63">
      <calculatedColumnFormula array="1">IF(Table_LuT_Begroting_Deelnemers[[#This Row],[FO | IO | EO]]="FO",INDIRECT("In_kind_"&amp;Table_LuT_Begroting_Deelnemers[[#This Row],[Verkorte Referentienaam Deelnemer]]),0)</calculatedColumnFormula>
      <totalsRowFormula>SUBTOTAL(109,INDIRECT("Table_LuT_Begroting_Deelnemers["&amp;AQ$1&amp;"]"))</totalsRowFormula>
    </tableColumn>
    <tableColumn id="16" xr3:uid="{0CD97569-733B-4DCF-A73E-11527BF9A64F}" name="Overige Subsidies" totalsRowFunction="custom" dataDxfId="62" totalsRowDxfId="61">
      <calculatedColumnFormula array="1">IF(Table_LuT_Begroting_Deelnemers[[#This Row],[FO | IO | EO]]="FO",INDIRECT("Overige_Subsidies_"&amp;Table_LuT_Begroting_Deelnemers[[#This Row],[Verkorte Referentienaam Deelnemer]]),0)</calculatedColumnFormula>
      <totalsRowFormula>SUBTOTAL(109,INDIRECT("Table_LuT_Begroting_Deelnemers["&amp;AR$1&amp;"]"))</totalsRowFormula>
    </tableColumn>
    <tableColumn id="13" xr3:uid="{9DEA0764-C24D-479D-8C59-B67CB5F77954}" name="Gevraagde Subsidie FO" totalsRowFunction="custom" dataDxfId="60" totalsRowDxfId="59">
      <calculatedColumnFormula array="1">IF(Table_LuT_Begroting_Deelnemers[[#This Row],[FO | IO | EO]]="FO",INDIRECT("Subsidie_FO_"&amp;Table_LuT_Begroting_Deelnemers[[#This Row],[Verkorte Referentienaam Deelnemer]]),0)</calculatedColumnFormula>
      <totalsRowFormula>SUBTOTAL(109,INDIRECT("Table_LuT_Begroting_Deelnemers["&amp;AS$1&amp;"]"))</totalsRowFormula>
    </tableColumn>
    <tableColumn id="14" xr3:uid="{04986BF2-D149-4450-9057-1D1C4C79FBBD}" name="Gevraagde Subsidie IO" totalsRowFunction="custom" dataDxfId="58" totalsRowDxfId="57">
      <calculatedColumnFormula array="1">IF(Table_LuT_Begroting_Deelnemers[[#This Row],[FO | IO | EO]]="IO",INDIRECT("Subsidie_IO_"&amp;Table_LuT_Begroting_Deelnemers[[#This Row],[Verkorte Referentienaam Deelnemer]]),0)</calculatedColumnFormula>
      <totalsRowFormula>SUBTOTAL(109,INDIRECT("Table_LuT_Begroting_Deelnemers["&amp;AT$1&amp;"]"))</totalsRowFormula>
    </tableColumn>
    <tableColumn id="15" xr3:uid="{396B329E-A7AE-4878-B40C-88CF32C2C0A7}" name="Gevraagde Subsidie EO" totalsRowFunction="custom" dataDxfId="56" totalsRowDxfId="55">
      <calculatedColumnFormula array="1">IF(Table_LuT_Begroting_Deelnemers[[#This Row],[FO | IO | EO]]="EO",INDIRECT("Subsidie_EO_"&amp;Table_LuT_Begroting_Deelnemers[[#This Row],[Verkorte Referentienaam Deelnemer]]),0)</calculatedColumnFormula>
      <totalsRowFormula>SUBTOTAL(109,INDIRECT("Table_LuT_Begroting_Deelnemers["&amp;AU$1&amp;"]"))</totalsRowFormula>
    </tableColumn>
    <tableColumn id="11" xr3:uid="{1520D7E5-3126-41C2-BC47-C33280E83B5D}" name="Gevraagde Subsidie Totaal" totalsRowFunction="custom" dataDxfId="54" totalsRowDxfId="53">
      <calculatedColumnFormula>SUM(Table_LuT_Begroting_Deelnemers[[#This Row],[Gevraagde Subsidie FO]:[Gevraagde Subsidie EO]])</calculatedColumnFormula>
      <totalsRowFormula>SUBTOTAL(109,INDIRECT("Table_LuT_Begroting_Deelnemers["&amp;AV$1&amp;"]"))</totalsRowFormula>
    </tableColumn>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FA6988D-FE0E-4845-917B-D9C3CD77F938}" name="Table_Max_Subsidie_HTSM" displayName="Table_Max_Subsidie_HTSM" ref="A2:H30" totalsRowShown="0" headerRowDxfId="52" dataDxfId="51">
  <tableColumns count="8">
    <tableColumn id="7" xr3:uid="{694D32AF-8574-4277-A2B1-6A4DF834BFAF}" name="Sub.instr. # TO" dataDxfId="50">
      <calculatedColumnFormula>Table_Max_Subsidie_HTSM[[#This Row],[Sub.instr.]]&amp;" # "&amp;Table_Max_Subsidie_HTSM[[#This Row],[Maximale subsidiepercentages van kosten Organisatie]]</calculatedColumnFormula>
    </tableColumn>
    <tableColumn id="8" xr3:uid="{5693147B-AD0A-48AC-A768-F59823B76FC4}" name="Sub.instr." dataDxfId="49">
      <calculatedColumnFormula>_xlfn.XLOOKUP(Table_Max_Subsidie_HTSM[[#This Row],[Subsidie-instrument]],Table_Sub.reg._Sub.instr.[Subsidie-instrument],Table_Sub.reg._Sub.instr.[Sub.instr.],"&lt;Not in LuT&gt;",0,1)</calculatedColumnFormula>
    </tableColumn>
    <tableColumn id="5" xr3:uid="{FA3F8E8C-E254-4CF6-AC42-2A34FDC9B261}" name="Is MKB?" dataDxfId="48"/>
    <tableColumn id="6" xr3:uid="{9A1CF4E3-056F-4777-A992-F7D8E9C051B5}" name="Subsidie-instrument" dataDxfId="47"/>
    <tableColumn id="1" xr3:uid="{88CF91F6-04DD-4093-A849-21E5A79AC57E}" name="Maximale subsidiepercentages van kosten Organisatie" dataDxfId="46"/>
    <tableColumn id="2" xr3:uid="{44052F1D-1BD0-458E-82B6-BF7CA27ACF2B}" name="FO" dataDxfId="45"/>
    <tableColumn id="3" xr3:uid="{90975BCD-B539-4CE4-A089-43C3ACD70418}" name="IO" dataDxfId="44"/>
    <tableColumn id="4" xr3:uid="{F63371FF-10D7-4D05-8F06-7B60152FD828}" name="EO" dataDxfId="43"/>
  </tableColumns>
  <tableStyleInfo name="TableStyleMedium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03A2922-DB0A-4882-9632-F5CBDBC8E423}" name="Table_Min_Cash_CoF_HTSM" displayName="Table_Min_Cash_CoF_HTSM" ref="A34:H46" totalsRowShown="0" headerRowDxfId="42" dataDxfId="41">
  <tableColumns count="8">
    <tableColumn id="7" xr3:uid="{CF153507-42DC-44F6-8B74-83B54764BD0B}" name="Sub.instr. # MKB-Consortium" dataDxfId="40">
      <calculatedColumnFormula>Table_Min_Cash_CoF_HTSM[[#This Row],[Sub.instr.]]&amp;" # "&amp;IF(Table_Min_Cash_CoF_HTSM[[#This Row],[MKB-Consortium?]],"TRUE","FALSE")</calculatedColumnFormula>
    </tableColumn>
    <tableColumn id="8" xr3:uid="{0B59DA1F-AD96-4706-AB14-D565CFCCB2A0}" name="Sub.instr." dataDxfId="39">
      <calculatedColumnFormula>_xlfn.XLOOKUP(Table_Min_Cash_CoF_HTSM[[#This Row],[Subsidie-instrument]],Table_Sub.reg._Sub.instr.[Subsidie-instrument],Table_Sub.reg._Sub.instr.[Sub.instr.],"&lt;Not in LuT&gt;",0,1)</calculatedColumnFormula>
    </tableColumn>
    <tableColumn id="5" xr3:uid="{107B7F95-8C3D-4453-8189-75B18110812D}" name="MKB-Consortium?" dataDxfId="38"/>
    <tableColumn id="6" xr3:uid="{7C5C79D7-8D79-4B3C-BB7D-41794D2EEF74}" name="Subsidie-instrument" dataDxfId="37"/>
    <tableColumn id="1" xr3:uid="{5FB72720-D807-44B6-BC04-A1179B22E3CD}" name="Minimale 'private bijdragen (co-funding) in cash'-percentages _x000a_door PPs van kosten OOs minus maximale subsidie OOs Consortium" dataDxfId="36"/>
    <tableColumn id="2" xr3:uid="{DC308DC8-0A07-42F7-9542-C48CABAD22B8}" name="FO" dataDxfId="35"/>
    <tableColumn id="3" xr3:uid="{AC98B7CF-600D-4631-999E-8174576CF04C}" name="IO" dataDxfId="34"/>
    <tableColumn id="4" xr3:uid="{D64B0B72-E354-4795-B3F5-884AF14FC413}" name="EO" dataDxfId="33"/>
  </tableColumns>
  <tableStyleInfo name="TableStyleMedium5"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BE2BC5B-60BE-4D41-A7CC-F861D3C1B19A}" name="Table_Max_Subsidie_Overheid" displayName="Table_Max_Subsidie_Overheid" ref="J2:R11" totalsRowShown="0" headerRowDxfId="32" dataDxfId="31">
  <tableColumns count="9">
    <tableColumn id="9" xr3:uid="{AC816F45-7A67-4584-94FC-1D76D9BC65F3}" name="Sub.reg. # Is OO of niet-economisch? # Is MKB?" dataDxfId="30">
      <calculatedColumnFormula>Table_Max_Subsidie_Overheid[[#This Row],[Sub.reg.]]&amp;" # "&amp;IF(Table_Max_Subsidie_Overheid[[#This Row],[Is OO of niet-economisch]],"TRUE","FALSE")&amp;" # "&amp;IF(Table_Max_Subsidie_Overheid[[#This Row],[Is MKB?]],"TRUE","FALSE")</calculatedColumnFormula>
    </tableColumn>
    <tableColumn id="7" xr3:uid="{0702CF32-2C77-463B-8075-5E4C04DA3708}" name="Sub.reg." dataDxfId="29">
      <calculatedColumnFormula>_xlfn.XLOOKUP(Table_Max_Subsidie_Overheid[[#This Row],[Subsidieregeling]],Table_Sub.reg._Sub.instr.[Subsidieregeling],Table_Sub.reg._Sub.instr.[Sub.reg.],"&lt;NiL&gt;",0,1)</calculatedColumnFormula>
    </tableColumn>
    <tableColumn id="5" xr3:uid="{4CC0D043-CEDE-4BDB-97BE-273D7A539F34}" name="Is OO of niet-economisch" dataDxfId="28"/>
    <tableColumn id="8" xr3:uid="{E8D7F369-4019-4240-9560-D1BC74EED64C}" name="Is MKB?" dataDxfId="27"/>
    <tableColumn id="6" xr3:uid="{A286997E-4D3F-4CA1-9FDF-28369A59F9A9}" name="Subsidieregeling" dataDxfId="26"/>
    <tableColumn id="1" xr3:uid="{DA42BAB7-3941-4807-86E5-82E445C3B06B}" name="Maximale subsidiepercentages van kosten Organisatie" dataDxfId="25"/>
    <tableColumn id="2" xr3:uid="{F9409633-DB43-4787-B5C7-94936D89E9FE}" name="FO" dataDxfId="24"/>
    <tableColumn id="3" xr3:uid="{783C0C3E-E3C3-4397-92A2-0ADC0EBC4DF0}" name="IO" dataDxfId="23"/>
    <tableColumn id="4" xr3:uid="{68938848-2622-42A6-90ED-C69FB14BEF9A}" name="EO" dataDxfId="22"/>
  </tableColumns>
  <tableStyleInfo name="TableStyleMedium3" showFirstColumn="0" showLastColumn="0" showRowStripes="0" showColumnStripes="0"/>
</table>
</file>

<file path=xl/theme/theme1.xml><?xml version="1.0" encoding="utf-8"?>
<a:theme xmlns:a="http://schemas.openxmlformats.org/drawingml/2006/main" name="Office Theme">
  <a:themeElements>
    <a:clrScheme name="HHT-Theme-Colors-Erna">
      <a:dk1>
        <a:sysClr val="windowText" lastClr="000000"/>
      </a:dk1>
      <a:lt1>
        <a:sysClr val="window" lastClr="FFFFFF"/>
      </a:lt1>
      <a:dk2>
        <a:srgbClr val="333333"/>
      </a:dk2>
      <a:lt2>
        <a:srgbClr val="E6E6E6"/>
      </a:lt2>
      <a:accent1>
        <a:srgbClr val="FF6F00"/>
      </a:accent1>
      <a:accent2>
        <a:srgbClr val="B4B4B4"/>
      </a:accent2>
      <a:accent3>
        <a:srgbClr val="828282"/>
      </a:accent3>
      <a:accent4>
        <a:srgbClr val="05A8AA"/>
      </a:accent4>
      <a:accent5>
        <a:srgbClr val="004E64"/>
      </a:accent5>
      <a:accent6>
        <a:srgbClr val="FFC000"/>
      </a:accent6>
      <a:hlink>
        <a:srgbClr val="05A8AA"/>
      </a:hlink>
      <a:folHlink>
        <a:srgbClr val="3BF6F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833" row="9">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5E1C3C4-1C4D-4614-B33E-68A0B1475014}">
  <we:reference id="wa200006385" version="1.0.0.0" store="en-GB" storeType="OMEX"/>
  <we:alternateReferences>
    <we:reference id="WA20000638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27.bin"/><Relationship Id="rId6" Type="http://schemas.openxmlformats.org/officeDocument/2006/relationships/table" Target="../tables/table11.xml"/><Relationship Id="rId5" Type="http://schemas.openxmlformats.org/officeDocument/2006/relationships/table" Target="../tables/table10.xml"/><Relationship Id="rId4" Type="http://schemas.openxmlformats.org/officeDocument/2006/relationships/table" Target="../tables/table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03B71-BD48-4759-9C47-B5DDF19F4298}">
  <sheetPr codeName="Sheet1">
    <tabColor theme="9"/>
  </sheetPr>
  <dimension ref="A1:S21"/>
  <sheetViews>
    <sheetView zoomScale="85" zoomScaleNormal="85" workbookViewId="0">
      <pane xSplit="2" ySplit="1" topLeftCell="C2" activePane="bottomRight" state="frozen"/>
      <selection activeCell="B3" sqref="B3:C3"/>
      <selection pane="topRight" activeCell="B3" sqref="B3:C3"/>
      <selection pane="bottomLeft" activeCell="B3" sqref="B3:C3"/>
      <selection pane="bottomRight" activeCell="B3" sqref="B3:C3"/>
    </sheetView>
  </sheetViews>
  <sheetFormatPr defaultRowHeight="15" customHeight="1" x14ac:dyDescent="0.25"/>
  <cols>
    <col min="1" max="1" width="14.85546875" style="277" customWidth="1"/>
    <col min="2" max="2" width="38.7109375" style="277" customWidth="1"/>
    <col min="3" max="3" width="15" style="277" customWidth="1"/>
    <col min="4" max="4" width="16" style="277" bestFit="1" customWidth="1"/>
    <col min="5" max="5" width="21" style="277" bestFit="1" customWidth="1"/>
    <col min="6" max="6" width="44.140625" style="277" bestFit="1" customWidth="1"/>
    <col min="7" max="7" width="41.85546875" style="277" customWidth="1"/>
    <col min="8" max="8" width="25.85546875" style="277" customWidth="1"/>
    <col min="9" max="9" width="15.140625" style="277" customWidth="1"/>
    <col min="10" max="10" width="14.5703125" style="277" customWidth="1"/>
    <col min="11" max="11" width="15.140625" style="277" customWidth="1"/>
    <col min="12" max="12" width="25.5703125" style="277" customWidth="1"/>
    <col min="13" max="13" width="17.85546875" style="277" customWidth="1"/>
    <col min="14" max="14" width="19.7109375" style="277" customWidth="1"/>
    <col min="15" max="15" width="20" style="277" customWidth="1"/>
    <col min="16" max="16" width="21.28515625" style="277" customWidth="1"/>
    <col min="17" max="17" width="25.42578125" style="277" customWidth="1"/>
    <col min="18" max="18" width="24.85546875" style="277" customWidth="1"/>
    <col min="19" max="19" width="25.42578125" style="277" customWidth="1"/>
    <col min="20" max="16384" width="9.140625" style="277"/>
  </cols>
  <sheetData>
    <row r="1" spans="1:19" s="295" customFormat="1" ht="15" customHeight="1" x14ac:dyDescent="0.25">
      <c r="A1" s="332" t="s">
        <v>47</v>
      </c>
      <c r="B1" s="296" t="s">
        <v>237</v>
      </c>
      <c r="C1" s="296" t="s">
        <v>236</v>
      </c>
      <c r="D1" s="296" t="s">
        <v>235</v>
      </c>
      <c r="E1" s="296" t="s">
        <v>234</v>
      </c>
      <c r="F1" s="296" t="s">
        <v>233</v>
      </c>
      <c r="G1" s="296" t="s">
        <v>232</v>
      </c>
      <c r="H1" s="296" t="s">
        <v>231</v>
      </c>
      <c r="I1" s="296" t="s">
        <v>230</v>
      </c>
      <c r="J1" s="296" t="s">
        <v>229</v>
      </c>
      <c r="K1" s="296" t="s">
        <v>228</v>
      </c>
      <c r="L1" s="296" t="s">
        <v>227</v>
      </c>
      <c r="M1" s="296" t="s">
        <v>226</v>
      </c>
      <c r="N1" s="296" t="s">
        <v>225</v>
      </c>
      <c r="O1" s="296" t="s">
        <v>224</v>
      </c>
      <c r="P1" s="296" t="s">
        <v>223</v>
      </c>
      <c r="Q1" s="296" t="s">
        <v>222</v>
      </c>
      <c r="R1" s="296" t="s">
        <v>221</v>
      </c>
      <c r="S1" s="296" t="s">
        <v>220</v>
      </c>
    </row>
    <row r="2" spans="1:19" s="295" customFormat="1" ht="15" customHeight="1" x14ac:dyDescent="0.25">
      <c r="A2" s="333" t="s">
        <v>58</v>
      </c>
      <c r="B2" s="336" t="str">
        <f>_xlfn.XLOOKUP($A2,Table_LuT_Deelnemers[ID Deelnemer],Table_LuT_Deelnemers[Naam Organisatie],"",0,1)</f>
        <v/>
      </c>
      <c r="C2" s="331" t="str">
        <f>IF(Table_Begrotingen_SF[[#This Row],[Deelnemer_opgegeven_in_Aanvraag__c]]="","",_xlfn.XLOOKUP($A2,Table_LuT_Deelnemers[ID Deelnemer],Table_LuT_Deelnemers[Is Buitenlandse Organisatie],"",0,1))</f>
        <v/>
      </c>
      <c r="D2" s="331" t="str">
        <f>IF(Table_Begrotingen_SF[[#This Row],[Deelnemer_opgegeven_in_Aanvraag__c]]="","",_xlfn.XLOOKUP($A2,Table_LuT_Deelnemers[ID Deelnemer],Table_LuT_Deelnemers[Land Organisatie '[indien buitenlands']],"",0,1))</f>
        <v/>
      </c>
      <c r="E2" s="331" t="str">
        <f>IF(Table_Begrotingen_SF[[#This Row],[Deelnemer_opgegeven_in_Aanvraag__c]]="","",_xlfn.XLOOKUP($A2,Table_LuT_Deelnemers[ID Deelnemer],Table_LuT_Deelnemers[KVK-nummer],"",0,1))</f>
        <v/>
      </c>
      <c r="F2" s="331" t="str">
        <f>IF(Table_Begrotingen_SF[[#This Row],[Deelnemer_opgegeven_in_Aanvraag__c]]="","",_xlfn.XLOOKUP($A2,Table_LuT_Deelnemers[ID Deelnemer],Table_LuT_Deelnemers[Website Organisatie],"",0,1))</f>
        <v/>
      </c>
      <c r="G2" s="331" t="str">
        <f>IF(Table_Begrotingen_SF[[#This Row],[Deelnemer_opgegeven_in_Aanvraag__c]]="","",_xlfn.XLOOKUP($A2,Table_LuT_Deelnemers[ID Deelnemer],Table_LuT_Deelnemers[Type Organisatie],"",0,1))</f>
        <v/>
      </c>
      <c r="H2" s="331" t="str">
        <f>IF(Table_Begrotingen_SF[[#This Row],[Deelnemer_opgegeven_in_Aanvraag__c]]="","",_xlfn.XLOOKUP($A2,Table_LuT_Deelnemers[ID Deelnemer],Table_LuT_Deelnemers[Vestiging in Nederland],"",0,1))</f>
        <v/>
      </c>
      <c r="I2" s="331" t="str">
        <f ca="1">_xlfn.LET(_xlpm.Var_Bedrag,_xlfn.XLOOKUP($A2,Table_LuT_Deelnemers[ID Deelnemer],Table_LuT_Deelnemers[Kosten FO],"",0,1),IF(_xlpm.Var_Bedrag=0,"",_xlpm.Var_Bedrag))</f>
        <v/>
      </c>
      <c r="J2" s="331" t="str">
        <f ca="1">_xlfn.LET(_xlpm.Var_Bedrag,_xlfn.XLOOKUP($A2,Table_LuT_Deelnemers[ID Deelnemer],Table_LuT_Deelnemers[Kosten IO],"",0,1),IF(_xlpm.Var_Bedrag=0,"",_xlpm.Var_Bedrag))</f>
        <v/>
      </c>
      <c r="K2" s="331" t="str">
        <f ca="1">_xlfn.LET(_xlpm.Var_Bedrag,_xlfn.XLOOKUP($A2,Table_LuT_Deelnemers[ID Deelnemer],Table_LuT_Deelnemers[Kosten EO],"",0,1),IF(_xlpm.Var_Bedrag=0,"",_xlpm.Var_Bedrag))</f>
        <v/>
      </c>
      <c r="L2" s="331" t="str">
        <f ca="1">_xlfn.LET(_xlpm.Var_Bedrag,_xlfn.XLOOKUP($A2,Table_LuT_Deelnemers[ID Deelnemer],Table_LuT_Deelnemers[Kosten Apparatuur],"",0,1),IF(_xlpm.Var_Bedrag=0,"",_xlpm.Var_Bedrag))</f>
        <v/>
      </c>
      <c r="M2" s="331" t="str">
        <f ca="1">_xlfn.LET(_xlpm.Var_Bedrag,_xlfn.XLOOKUP($A2,Table_LuT_Deelnemers[ID Deelnemer],Table_LuT_Deelnemers[Cash Bijdrage],"",0,1),IF(_xlpm.Var_Bedrag=0,"",_xlpm.Var_Bedrag))</f>
        <v/>
      </c>
      <c r="N2" s="331" t="str">
        <f ca="1">_xlfn.LET(_xlpm.Var_Bedrag,_xlfn.XLOOKUP($A2,Table_LuT_Deelnemers[ID Deelnemer],Table_LuT_Deelnemers[Cash Ontvangen],"",0,1),IF(_xlpm.Var_Bedrag=0,"",_xlpm.Var_Bedrag))</f>
        <v/>
      </c>
      <c r="O2" s="331" t="str">
        <f ca="1">_xlfn.LET(_xlpm.Var_Bedrag,_xlfn.XLOOKUP($A2,Table_LuT_Deelnemers[ID Deelnemer],Table_LuT_Deelnemers[In-kind Bijdrage],"",0,1),IF(_xlpm.Var_Bedrag=0,"",_xlpm.Var_Bedrag))</f>
        <v/>
      </c>
      <c r="P2" s="331" t="str">
        <f ca="1">_xlfn.LET(_xlpm.Var_Bedrag,_xlfn.XLOOKUP($A2,Table_LuT_Deelnemers[ID Deelnemer],Table_LuT_Deelnemers[Overige Subsidies],"",0,1),IF(_xlpm.Var_Bedrag=0,"",_xlpm.Var_Bedrag))</f>
        <v/>
      </c>
      <c r="Q2" s="331" t="str">
        <f ca="1">_xlfn.LET(_xlpm.Var_Bedrag,_xlfn.XLOOKUP($A2,Table_LuT_Deelnemers[ID Deelnemer],Table_LuT_Deelnemers[Gevraagde Subsidie FO],"",0,1),IF(_xlpm.Var_Bedrag=0,"",_xlpm.Var_Bedrag))</f>
        <v/>
      </c>
      <c r="R2" s="331" t="str">
        <f ca="1">_xlfn.LET(_xlpm.Var_Bedrag,_xlfn.XLOOKUP($A2,Table_LuT_Deelnemers[ID Deelnemer],Table_LuT_Deelnemers[Gevraagde Subsidie IO],"",0,1),IF(_xlpm.Var_Bedrag=0,"",_xlpm.Var_Bedrag))</f>
        <v/>
      </c>
      <c r="S2" s="331" t="str">
        <f ca="1">_xlfn.LET(_xlpm.Var_Bedrag,_xlfn.XLOOKUP($A2,Table_LuT_Deelnemers[ID Deelnemer],Table_LuT_Deelnemers[Gevraagde Subsidie EO],"",0,1),IF(_xlpm.Var_Bedrag=0,"",_xlpm.Var_Bedrag))</f>
        <v/>
      </c>
    </row>
    <row r="3" spans="1:19" ht="15" customHeight="1" x14ac:dyDescent="0.25">
      <c r="A3" s="334" t="s">
        <v>59</v>
      </c>
      <c r="B3" s="336" t="str">
        <f>_xlfn.XLOOKUP($A3,Table_LuT_Deelnemers[ID Deelnemer],Table_LuT_Deelnemers[Naam Organisatie],"",0,1)</f>
        <v/>
      </c>
      <c r="C3" s="277" t="str">
        <f>IF(Table_Begrotingen_SF[[#This Row],[Deelnemer_opgegeven_in_Aanvraag__c]]="","",_xlfn.XLOOKUP($A3,Table_LuT_Deelnemers[ID Deelnemer],Table_LuT_Deelnemers[Is Buitenlandse Organisatie],"",0,1))</f>
        <v/>
      </c>
      <c r="D3" s="277" t="str">
        <f>IF(Table_Begrotingen_SF[[#This Row],[Deelnemer_opgegeven_in_Aanvraag__c]]="","",_xlfn.XLOOKUP($A3,Table_LuT_Deelnemers[ID Deelnemer],Table_LuT_Deelnemers[Land Organisatie '[indien buitenlands']],"",0,1))</f>
        <v/>
      </c>
      <c r="E3" s="277" t="str">
        <f>IF(Table_Begrotingen_SF[[#This Row],[Deelnemer_opgegeven_in_Aanvraag__c]]="","",_xlfn.XLOOKUP($A3,Table_LuT_Deelnemers[ID Deelnemer],Table_LuT_Deelnemers[KVK-nummer],"",0,1))</f>
        <v/>
      </c>
      <c r="F3" s="277" t="str">
        <f>IF(Table_Begrotingen_SF[[#This Row],[Deelnemer_opgegeven_in_Aanvraag__c]]="","",_xlfn.XLOOKUP($A3,Table_LuT_Deelnemers[ID Deelnemer],Table_LuT_Deelnemers[Website Organisatie],"",0,1))</f>
        <v/>
      </c>
      <c r="G3" s="277" t="str">
        <f>IF(Table_Begrotingen_SF[[#This Row],[Deelnemer_opgegeven_in_Aanvraag__c]]="","",_xlfn.XLOOKUP($A3,Table_LuT_Deelnemers[ID Deelnemer],Table_LuT_Deelnemers[Type Organisatie],"",0,1))</f>
        <v/>
      </c>
      <c r="H3" s="277" t="str">
        <f>IF(Table_Begrotingen_SF[[#This Row],[Deelnemer_opgegeven_in_Aanvraag__c]]="","",_xlfn.XLOOKUP($A3,Table_LuT_Deelnemers[ID Deelnemer],Table_LuT_Deelnemers[Vestiging in Nederland],"",0,1))</f>
        <v/>
      </c>
      <c r="I3" s="277" t="str">
        <f ca="1">_xlfn.LET(_xlpm.Var_Bedrag,_xlfn.XLOOKUP($A3,Table_LuT_Deelnemers[ID Deelnemer],Table_LuT_Deelnemers[Kosten FO],"",0,1),IF(_xlpm.Var_Bedrag=0,"",_xlpm.Var_Bedrag))</f>
        <v/>
      </c>
      <c r="J3" s="277" t="str">
        <f ca="1">_xlfn.LET(_xlpm.Var_Bedrag,_xlfn.XLOOKUP($A3,Table_LuT_Deelnemers[ID Deelnemer],Table_LuT_Deelnemers[Kosten IO],"",0,1),IF(_xlpm.Var_Bedrag=0,"",_xlpm.Var_Bedrag))</f>
        <v/>
      </c>
      <c r="K3" s="277" t="str">
        <f ca="1">_xlfn.LET(_xlpm.Var_Bedrag,_xlfn.XLOOKUP($A3,Table_LuT_Deelnemers[ID Deelnemer],Table_LuT_Deelnemers[Kosten EO],"",0,1),IF(_xlpm.Var_Bedrag=0,"",_xlpm.Var_Bedrag))</f>
        <v/>
      </c>
      <c r="L3" s="277" t="str">
        <f ca="1">_xlfn.LET(_xlpm.Var_Bedrag,_xlfn.XLOOKUP($A3,Table_LuT_Deelnemers[ID Deelnemer],Table_LuT_Deelnemers[Kosten Apparatuur],"",0,1),IF(_xlpm.Var_Bedrag=0,"",_xlpm.Var_Bedrag))</f>
        <v/>
      </c>
      <c r="M3" s="277" t="str">
        <f ca="1">_xlfn.LET(_xlpm.Var_Bedrag,_xlfn.XLOOKUP($A3,Table_LuT_Deelnemers[ID Deelnemer],Table_LuT_Deelnemers[Cash Bijdrage],"",0,1),IF(_xlpm.Var_Bedrag=0,"",_xlpm.Var_Bedrag))</f>
        <v/>
      </c>
      <c r="N3" s="277" t="str">
        <f ca="1">_xlfn.LET(_xlpm.Var_Bedrag,_xlfn.XLOOKUP($A3,Table_LuT_Deelnemers[ID Deelnemer],Table_LuT_Deelnemers[Cash Ontvangen],"",0,1),IF(_xlpm.Var_Bedrag=0,"",_xlpm.Var_Bedrag))</f>
        <v/>
      </c>
      <c r="O3" s="277" t="str">
        <f ca="1">_xlfn.LET(_xlpm.Var_Bedrag,_xlfn.XLOOKUP($A3,Table_LuT_Deelnemers[ID Deelnemer],Table_LuT_Deelnemers[In-kind Bijdrage],"",0,1),IF(_xlpm.Var_Bedrag=0,"",_xlpm.Var_Bedrag))</f>
        <v/>
      </c>
      <c r="P3" s="277" t="str">
        <f ca="1">_xlfn.LET(_xlpm.Var_Bedrag,_xlfn.XLOOKUP($A3,Table_LuT_Deelnemers[ID Deelnemer],Table_LuT_Deelnemers[Overige Subsidies],"",0,1),IF(_xlpm.Var_Bedrag=0,"",_xlpm.Var_Bedrag))</f>
        <v/>
      </c>
      <c r="Q3" s="277" t="str">
        <f ca="1">_xlfn.LET(_xlpm.Var_Bedrag,_xlfn.XLOOKUP($A3,Table_LuT_Deelnemers[ID Deelnemer],Table_LuT_Deelnemers[Gevraagde Subsidie FO],"",0,1),IF(_xlpm.Var_Bedrag=0,"",_xlpm.Var_Bedrag))</f>
        <v/>
      </c>
      <c r="R3" s="277" t="str">
        <f ca="1">_xlfn.LET(_xlpm.Var_Bedrag,_xlfn.XLOOKUP($A3,Table_LuT_Deelnemers[ID Deelnemer],Table_LuT_Deelnemers[Gevraagde Subsidie IO],"",0,1),IF(_xlpm.Var_Bedrag=0,"",_xlpm.Var_Bedrag))</f>
        <v/>
      </c>
      <c r="S3" s="277" t="str">
        <f ca="1">_xlfn.LET(_xlpm.Var_Bedrag,_xlfn.XLOOKUP($A3,Table_LuT_Deelnemers[ID Deelnemer],Table_LuT_Deelnemers[Gevraagde Subsidie EO],"",0,1),IF(_xlpm.Var_Bedrag=0,"",_xlpm.Var_Bedrag))</f>
        <v/>
      </c>
    </row>
    <row r="4" spans="1:19" ht="15" customHeight="1" x14ac:dyDescent="0.25">
      <c r="A4" s="333" t="s">
        <v>60</v>
      </c>
      <c r="B4" s="336" t="str">
        <f>_xlfn.XLOOKUP($A4,Table_LuT_Deelnemers[ID Deelnemer],Table_LuT_Deelnemers[Naam Organisatie],"",0,1)</f>
        <v/>
      </c>
      <c r="C4" s="277" t="str">
        <f>IF(Table_Begrotingen_SF[[#This Row],[Deelnemer_opgegeven_in_Aanvraag__c]]="","",_xlfn.XLOOKUP($A4,Table_LuT_Deelnemers[ID Deelnemer],Table_LuT_Deelnemers[Is Buitenlandse Organisatie],"",0,1))</f>
        <v/>
      </c>
      <c r="D4" s="277" t="str">
        <f>IF(Table_Begrotingen_SF[[#This Row],[Deelnemer_opgegeven_in_Aanvraag__c]]="","",_xlfn.XLOOKUP($A4,Table_LuT_Deelnemers[ID Deelnemer],Table_LuT_Deelnemers[Land Organisatie '[indien buitenlands']],"",0,1))</f>
        <v/>
      </c>
      <c r="E4" s="277" t="str">
        <f>IF(Table_Begrotingen_SF[[#This Row],[Deelnemer_opgegeven_in_Aanvraag__c]]="","",_xlfn.XLOOKUP($A4,Table_LuT_Deelnemers[ID Deelnemer],Table_LuT_Deelnemers[KVK-nummer],"",0,1))</f>
        <v/>
      </c>
      <c r="F4" s="277" t="str">
        <f>IF(Table_Begrotingen_SF[[#This Row],[Deelnemer_opgegeven_in_Aanvraag__c]]="","",_xlfn.XLOOKUP($A4,Table_LuT_Deelnemers[ID Deelnemer],Table_LuT_Deelnemers[Website Organisatie],"",0,1))</f>
        <v/>
      </c>
      <c r="G4" s="277" t="str">
        <f>IF(Table_Begrotingen_SF[[#This Row],[Deelnemer_opgegeven_in_Aanvraag__c]]="","",_xlfn.XLOOKUP($A4,Table_LuT_Deelnemers[ID Deelnemer],Table_LuT_Deelnemers[Type Organisatie],"",0,1))</f>
        <v/>
      </c>
      <c r="H4" s="277" t="str">
        <f>IF(Table_Begrotingen_SF[[#This Row],[Deelnemer_opgegeven_in_Aanvraag__c]]="","",_xlfn.XLOOKUP($A4,Table_LuT_Deelnemers[ID Deelnemer],Table_LuT_Deelnemers[Vestiging in Nederland],"",0,1))</f>
        <v/>
      </c>
      <c r="I4" s="277" t="str">
        <f ca="1">_xlfn.LET(_xlpm.Var_Bedrag,_xlfn.XLOOKUP($A4,Table_LuT_Deelnemers[ID Deelnemer],Table_LuT_Deelnemers[Kosten FO],"",0,1),IF(_xlpm.Var_Bedrag=0,"",_xlpm.Var_Bedrag))</f>
        <v/>
      </c>
      <c r="J4" s="277" t="str">
        <f ca="1">_xlfn.LET(_xlpm.Var_Bedrag,_xlfn.XLOOKUP($A4,Table_LuT_Deelnemers[ID Deelnemer],Table_LuT_Deelnemers[Kosten IO],"",0,1),IF(_xlpm.Var_Bedrag=0,"",_xlpm.Var_Bedrag))</f>
        <v/>
      </c>
      <c r="K4" s="277" t="str">
        <f ca="1">_xlfn.LET(_xlpm.Var_Bedrag,_xlfn.XLOOKUP($A4,Table_LuT_Deelnemers[ID Deelnemer],Table_LuT_Deelnemers[Kosten EO],"",0,1),IF(_xlpm.Var_Bedrag=0,"",_xlpm.Var_Bedrag))</f>
        <v/>
      </c>
      <c r="L4" s="277" t="str">
        <f ca="1">_xlfn.LET(_xlpm.Var_Bedrag,_xlfn.XLOOKUP($A4,Table_LuT_Deelnemers[ID Deelnemer],Table_LuT_Deelnemers[Kosten Apparatuur],"",0,1),IF(_xlpm.Var_Bedrag=0,"",_xlpm.Var_Bedrag))</f>
        <v/>
      </c>
      <c r="M4" s="277" t="str">
        <f ca="1">_xlfn.LET(_xlpm.Var_Bedrag,_xlfn.XLOOKUP($A4,Table_LuT_Deelnemers[ID Deelnemer],Table_LuT_Deelnemers[Cash Bijdrage],"",0,1),IF(_xlpm.Var_Bedrag=0,"",_xlpm.Var_Bedrag))</f>
        <v/>
      </c>
      <c r="N4" s="277" t="str">
        <f ca="1">_xlfn.LET(_xlpm.Var_Bedrag,_xlfn.XLOOKUP($A4,Table_LuT_Deelnemers[ID Deelnemer],Table_LuT_Deelnemers[Cash Ontvangen],"",0,1),IF(_xlpm.Var_Bedrag=0,"",_xlpm.Var_Bedrag))</f>
        <v/>
      </c>
      <c r="O4" s="277" t="str">
        <f ca="1">_xlfn.LET(_xlpm.Var_Bedrag,_xlfn.XLOOKUP($A4,Table_LuT_Deelnemers[ID Deelnemer],Table_LuT_Deelnemers[In-kind Bijdrage],"",0,1),IF(_xlpm.Var_Bedrag=0,"",_xlpm.Var_Bedrag))</f>
        <v/>
      </c>
      <c r="P4" s="277" t="str">
        <f ca="1">_xlfn.LET(_xlpm.Var_Bedrag,_xlfn.XLOOKUP($A4,Table_LuT_Deelnemers[ID Deelnemer],Table_LuT_Deelnemers[Overige Subsidies],"",0,1),IF(_xlpm.Var_Bedrag=0,"",_xlpm.Var_Bedrag))</f>
        <v/>
      </c>
      <c r="Q4" s="277" t="str">
        <f ca="1">_xlfn.LET(_xlpm.Var_Bedrag,_xlfn.XLOOKUP($A4,Table_LuT_Deelnemers[ID Deelnemer],Table_LuT_Deelnemers[Gevraagde Subsidie FO],"",0,1),IF(_xlpm.Var_Bedrag=0,"",_xlpm.Var_Bedrag))</f>
        <v/>
      </c>
      <c r="R4" s="277" t="str">
        <f ca="1">_xlfn.LET(_xlpm.Var_Bedrag,_xlfn.XLOOKUP($A4,Table_LuT_Deelnemers[ID Deelnemer],Table_LuT_Deelnemers[Gevraagde Subsidie IO],"",0,1),IF(_xlpm.Var_Bedrag=0,"",_xlpm.Var_Bedrag))</f>
        <v/>
      </c>
      <c r="S4" s="277" t="str">
        <f ca="1">_xlfn.LET(_xlpm.Var_Bedrag,_xlfn.XLOOKUP($A4,Table_LuT_Deelnemers[ID Deelnemer],Table_LuT_Deelnemers[Gevraagde Subsidie EO],"",0,1),IF(_xlpm.Var_Bedrag=0,"",_xlpm.Var_Bedrag))</f>
        <v/>
      </c>
    </row>
    <row r="5" spans="1:19" ht="15" customHeight="1" x14ac:dyDescent="0.25">
      <c r="A5" s="334" t="s">
        <v>61</v>
      </c>
      <c r="B5" s="336" t="str">
        <f>_xlfn.XLOOKUP($A5,Table_LuT_Deelnemers[ID Deelnemer],Table_LuT_Deelnemers[Naam Organisatie],"",0,1)</f>
        <v/>
      </c>
      <c r="C5" s="277" t="str">
        <f>IF(Table_Begrotingen_SF[[#This Row],[Deelnemer_opgegeven_in_Aanvraag__c]]="","",_xlfn.XLOOKUP($A5,Table_LuT_Deelnemers[ID Deelnemer],Table_LuT_Deelnemers[Is Buitenlandse Organisatie],"",0,1))</f>
        <v/>
      </c>
      <c r="D5" s="277" t="str">
        <f>IF(Table_Begrotingen_SF[[#This Row],[Deelnemer_opgegeven_in_Aanvraag__c]]="","",_xlfn.XLOOKUP($A5,Table_LuT_Deelnemers[ID Deelnemer],Table_LuT_Deelnemers[Land Organisatie '[indien buitenlands']],"",0,1))</f>
        <v/>
      </c>
      <c r="E5" s="277" t="str">
        <f>IF(Table_Begrotingen_SF[[#This Row],[Deelnemer_opgegeven_in_Aanvraag__c]]="","",_xlfn.XLOOKUP($A5,Table_LuT_Deelnemers[ID Deelnemer],Table_LuT_Deelnemers[KVK-nummer],"",0,1))</f>
        <v/>
      </c>
      <c r="F5" s="277" t="str">
        <f>IF(Table_Begrotingen_SF[[#This Row],[Deelnemer_opgegeven_in_Aanvraag__c]]="","",_xlfn.XLOOKUP($A5,Table_LuT_Deelnemers[ID Deelnemer],Table_LuT_Deelnemers[Website Organisatie],"",0,1))</f>
        <v/>
      </c>
      <c r="G5" s="277" t="str">
        <f>IF(Table_Begrotingen_SF[[#This Row],[Deelnemer_opgegeven_in_Aanvraag__c]]="","",_xlfn.XLOOKUP($A5,Table_LuT_Deelnemers[ID Deelnemer],Table_LuT_Deelnemers[Type Organisatie],"",0,1))</f>
        <v/>
      </c>
      <c r="H5" s="277" t="str">
        <f>IF(Table_Begrotingen_SF[[#This Row],[Deelnemer_opgegeven_in_Aanvraag__c]]="","",_xlfn.XLOOKUP($A5,Table_LuT_Deelnemers[ID Deelnemer],Table_LuT_Deelnemers[Vestiging in Nederland],"",0,1))</f>
        <v/>
      </c>
      <c r="I5" s="277" t="str">
        <f ca="1">_xlfn.LET(_xlpm.Var_Bedrag,_xlfn.XLOOKUP($A5,Table_LuT_Deelnemers[ID Deelnemer],Table_LuT_Deelnemers[Kosten FO],"",0,1),IF(_xlpm.Var_Bedrag=0,"",_xlpm.Var_Bedrag))</f>
        <v/>
      </c>
      <c r="J5" s="277" t="str">
        <f ca="1">_xlfn.LET(_xlpm.Var_Bedrag,_xlfn.XLOOKUP($A5,Table_LuT_Deelnemers[ID Deelnemer],Table_LuT_Deelnemers[Kosten IO],"",0,1),IF(_xlpm.Var_Bedrag=0,"",_xlpm.Var_Bedrag))</f>
        <v/>
      </c>
      <c r="K5" s="277" t="str">
        <f ca="1">_xlfn.LET(_xlpm.Var_Bedrag,_xlfn.XLOOKUP($A5,Table_LuT_Deelnemers[ID Deelnemer],Table_LuT_Deelnemers[Kosten EO],"",0,1),IF(_xlpm.Var_Bedrag=0,"",_xlpm.Var_Bedrag))</f>
        <v/>
      </c>
      <c r="L5" s="277" t="str">
        <f ca="1">_xlfn.LET(_xlpm.Var_Bedrag,_xlfn.XLOOKUP($A5,Table_LuT_Deelnemers[ID Deelnemer],Table_LuT_Deelnemers[Kosten Apparatuur],"",0,1),IF(_xlpm.Var_Bedrag=0,"",_xlpm.Var_Bedrag))</f>
        <v/>
      </c>
      <c r="M5" s="277" t="str">
        <f ca="1">_xlfn.LET(_xlpm.Var_Bedrag,_xlfn.XLOOKUP($A5,Table_LuT_Deelnemers[ID Deelnemer],Table_LuT_Deelnemers[Cash Bijdrage],"",0,1),IF(_xlpm.Var_Bedrag=0,"",_xlpm.Var_Bedrag))</f>
        <v/>
      </c>
      <c r="N5" s="277" t="str">
        <f ca="1">_xlfn.LET(_xlpm.Var_Bedrag,_xlfn.XLOOKUP($A5,Table_LuT_Deelnemers[ID Deelnemer],Table_LuT_Deelnemers[Cash Ontvangen],"",0,1),IF(_xlpm.Var_Bedrag=0,"",_xlpm.Var_Bedrag))</f>
        <v/>
      </c>
      <c r="O5" s="277" t="str">
        <f ca="1">_xlfn.LET(_xlpm.Var_Bedrag,_xlfn.XLOOKUP($A5,Table_LuT_Deelnemers[ID Deelnemer],Table_LuT_Deelnemers[In-kind Bijdrage],"",0,1),IF(_xlpm.Var_Bedrag=0,"",_xlpm.Var_Bedrag))</f>
        <v/>
      </c>
      <c r="P5" s="277" t="str">
        <f ca="1">_xlfn.LET(_xlpm.Var_Bedrag,_xlfn.XLOOKUP($A5,Table_LuT_Deelnemers[ID Deelnemer],Table_LuT_Deelnemers[Overige Subsidies],"",0,1),IF(_xlpm.Var_Bedrag=0,"",_xlpm.Var_Bedrag))</f>
        <v/>
      </c>
      <c r="Q5" s="277" t="str">
        <f ca="1">_xlfn.LET(_xlpm.Var_Bedrag,_xlfn.XLOOKUP($A5,Table_LuT_Deelnemers[ID Deelnemer],Table_LuT_Deelnemers[Gevraagde Subsidie FO],"",0,1),IF(_xlpm.Var_Bedrag=0,"",_xlpm.Var_Bedrag))</f>
        <v/>
      </c>
      <c r="R5" s="277" t="str">
        <f ca="1">_xlfn.LET(_xlpm.Var_Bedrag,_xlfn.XLOOKUP($A5,Table_LuT_Deelnemers[ID Deelnemer],Table_LuT_Deelnemers[Gevraagde Subsidie IO],"",0,1),IF(_xlpm.Var_Bedrag=0,"",_xlpm.Var_Bedrag))</f>
        <v/>
      </c>
      <c r="S5" s="277" t="str">
        <f ca="1">_xlfn.LET(_xlpm.Var_Bedrag,_xlfn.XLOOKUP($A5,Table_LuT_Deelnemers[ID Deelnemer],Table_LuT_Deelnemers[Gevraagde Subsidie EO],"",0,1),IF(_xlpm.Var_Bedrag=0,"",_xlpm.Var_Bedrag))</f>
        <v/>
      </c>
    </row>
    <row r="6" spans="1:19" ht="15" customHeight="1" x14ac:dyDescent="0.25">
      <c r="A6" s="333" t="s">
        <v>62</v>
      </c>
      <c r="B6" s="336" t="str">
        <f>_xlfn.XLOOKUP($A6,Table_LuT_Deelnemers[ID Deelnemer],Table_LuT_Deelnemers[Naam Organisatie],"",0,1)</f>
        <v/>
      </c>
      <c r="C6" s="277" t="str">
        <f>IF(Table_Begrotingen_SF[[#This Row],[Deelnemer_opgegeven_in_Aanvraag__c]]="","",_xlfn.XLOOKUP($A6,Table_LuT_Deelnemers[ID Deelnemer],Table_LuT_Deelnemers[Is Buitenlandse Organisatie],"",0,1))</f>
        <v/>
      </c>
      <c r="D6" s="277" t="str">
        <f>IF(Table_Begrotingen_SF[[#This Row],[Deelnemer_opgegeven_in_Aanvraag__c]]="","",_xlfn.XLOOKUP($A6,Table_LuT_Deelnemers[ID Deelnemer],Table_LuT_Deelnemers[Land Organisatie '[indien buitenlands']],"",0,1))</f>
        <v/>
      </c>
      <c r="E6" s="277" t="str">
        <f>IF(Table_Begrotingen_SF[[#This Row],[Deelnemer_opgegeven_in_Aanvraag__c]]="","",_xlfn.XLOOKUP($A6,Table_LuT_Deelnemers[ID Deelnemer],Table_LuT_Deelnemers[KVK-nummer],"",0,1))</f>
        <v/>
      </c>
      <c r="F6" s="277" t="str">
        <f>IF(Table_Begrotingen_SF[[#This Row],[Deelnemer_opgegeven_in_Aanvraag__c]]="","",_xlfn.XLOOKUP($A6,Table_LuT_Deelnemers[ID Deelnemer],Table_LuT_Deelnemers[Website Organisatie],"",0,1))</f>
        <v/>
      </c>
      <c r="G6" s="277" t="str">
        <f>IF(Table_Begrotingen_SF[[#This Row],[Deelnemer_opgegeven_in_Aanvraag__c]]="","",_xlfn.XLOOKUP($A6,Table_LuT_Deelnemers[ID Deelnemer],Table_LuT_Deelnemers[Type Organisatie],"",0,1))</f>
        <v/>
      </c>
      <c r="H6" s="277" t="str">
        <f>IF(Table_Begrotingen_SF[[#This Row],[Deelnemer_opgegeven_in_Aanvraag__c]]="","",_xlfn.XLOOKUP($A6,Table_LuT_Deelnemers[ID Deelnemer],Table_LuT_Deelnemers[Vestiging in Nederland],"",0,1))</f>
        <v/>
      </c>
      <c r="I6" s="277" t="str">
        <f ca="1">_xlfn.LET(_xlpm.Var_Bedrag,_xlfn.XLOOKUP($A6,Table_LuT_Deelnemers[ID Deelnemer],Table_LuT_Deelnemers[Kosten FO],"",0,1),IF(_xlpm.Var_Bedrag=0,"",_xlpm.Var_Bedrag))</f>
        <v/>
      </c>
      <c r="J6" s="277" t="str">
        <f ca="1">_xlfn.LET(_xlpm.Var_Bedrag,_xlfn.XLOOKUP($A6,Table_LuT_Deelnemers[ID Deelnemer],Table_LuT_Deelnemers[Kosten IO],"",0,1),IF(_xlpm.Var_Bedrag=0,"",_xlpm.Var_Bedrag))</f>
        <v/>
      </c>
      <c r="K6" s="277" t="str">
        <f ca="1">_xlfn.LET(_xlpm.Var_Bedrag,_xlfn.XLOOKUP($A6,Table_LuT_Deelnemers[ID Deelnemer],Table_LuT_Deelnemers[Kosten EO],"",0,1),IF(_xlpm.Var_Bedrag=0,"",_xlpm.Var_Bedrag))</f>
        <v/>
      </c>
      <c r="L6" s="277" t="str">
        <f ca="1">_xlfn.LET(_xlpm.Var_Bedrag,_xlfn.XLOOKUP($A6,Table_LuT_Deelnemers[ID Deelnemer],Table_LuT_Deelnemers[Kosten Apparatuur],"",0,1),IF(_xlpm.Var_Bedrag=0,"",_xlpm.Var_Bedrag))</f>
        <v/>
      </c>
      <c r="M6" s="277" t="str">
        <f ca="1">_xlfn.LET(_xlpm.Var_Bedrag,_xlfn.XLOOKUP($A6,Table_LuT_Deelnemers[ID Deelnemer],Table_LuT_Deelnemers[Cash Bijdrage],"",0,1),IF(_xlpm.Var_Bedrag=0,"",_xlpm.Var_Bedrag))</f>
        <v/>
      </c>
      <c r="N6" s="277" t="str">
        <f ca="1">_xlfn.LET(_xlpm.Var_Bedrag,_xlfn.XLOOKUP($A6,Table_LuT_Deelnemers[ID Deelnemer],Table_LuT_Deelnemers[Cash Ontvangen],"",0,1),IF(_xlpm.Var_Bedrag=0,"",_xlpm.Var_Bedrag))</f>
        <v/>
      </c>
      <c r="O6" s="277" t="str">
        <f ca="1">_xlfn.LET(_xlpm.Var_Bedrag,_xlfn.XLOOKUP($A6,Table_LuT_Deelnemers[ID Deelnemer],Table_LuT_Deelnemers[In-kind Bijdrage],"",0,1),IF(_xlpm.Var_Bedrag=0,"",_xlpm.Var_Bedrag))</f>
        <v/>
      </c>
      <c r="P6" s="277" t="str">
        <f ca="1">_xlfn.LET(_xlpm.Var_Bedrag,_xlfn.XLOOKUP($A6,Table_LuT_Deelnemers[ID Deelnemer],Table_LuT_Deelnemers[Overige Subsidies],"",0,1),IF(_xlpm.Var_Bedrag=0,"",_xlpm.Var_Bedrag))</f>
        <v/>
      </c>
      <c r="Q6" s="277" t="str">
        <f ca="1">_xlfn.LET(_xlpm.Var_Bedrag,_xlfn.XLOOKUP($A6,Table_LuT_Deelnemers[ID Deelnemer],Table_LuT_Deelnemers[Gevraagde Subsidie FO],"",0,1),IF(_xlpm.Var_Bedrag=0,"",_xlpm.Var_Bedrag))</f>
        <v/>
      </c>
      <c r="R6" s="277" t="str">
        <f ca="1">_xlfn.LET(_xlpm.Var_Bedrag,_xlfn.XLOOKUP($A6,Table_LuT_Deelnemers[ID Deelnemer],Table_LuT_Deelnemers[Gevraagde Subsidie IO],"",0,1),IF(_xlpm.Var_Bedrag=0,"",_xlpm.Var_Bedrag))</f>
        <v/>
      </c>
      <c r="S6" s="277" t="str">
        <f ca="1">_xlfn.LET(_xlpm.Var_Bedrag,_xlfn.XLOOKUP($A6,Table_LuT_Deelnemers[ID Deelnemer],Table_LuT_Deelnemers[Gevraagde Subsidie EO],"",0,1),IF(_xlpm.Var_Bedrag=0,"",_xlpm.Var_Bedrag))</f>
        <v/>
      </c>
    </row>
    <row r="7" spans="1:19" ht="15" customHeight="1" x14ac:dyDescent="0.25">
      <c r="A7" s="334" t="s">
        <v>63</v>
      </c>
      <c r="B7" s="336" t="str">
        <f>_xlfn.XLOOKUP($A7,Table_LuT_Deelnemers[ID Deelnemer],Table_LuT_Deelnemers[Naam Organisatie],"",0,1)</f>
        <v/>
      </c>
      <c r="C7" s="277" t="str">
        <f>IF(Table_Begrotingen_SF[[#This Row],[Deelnemer_opgegeven_in_Aanvraag__c]]="","",_xlfn.XLOOKUP($A7,Table_LuT_Deelnemers[ID Deelnemer],Table_LuT_Deelnemers[Is Buitenlandse Organisatie],"",0,1))</f>
        <v/>
      </c>
      <c r="D7" s="277" t="str">
        <f>IF(Table_Begrotingen_SF[[#This Row],[Deelnemer_opgegeven_in_Aanvraag__c]]="","",_xlfn.XLOOKUP($A7,Table_LuT_Deelnemers[ID Deelnemer],Table_LuT_Deelnemers[Land Organisatie '[indien buitenlands']],"",0,1))</f>
        <v/>
      </c>
      <c r="E7" s="277" t="str">
        <f>IF(Table_Begrotingen_SF[[#This Row],[Deelnemer_opgegeven_in_Aanvraag__c]]="","",_xlfn.XLOOKUP($A7,Table_LuT_Deelnemers[ID Deelnemer],Table_LuT_Deelnemers[KVK-nummer],"",0,1))</f>
        <v/>
      </c>
      <c r="F7" s="277" t="str">
        <f>IF(Table_Begrotingen_SF[[#This Row],[Deelnemer_opgegeven_in_Aanvraag__c]]="","",_xlfn.XLOOKUP($A7,Table_LuT_Deelnemers[ID Deelnemer],Table_LuT_Deelnemers[Website Organisatie],"",0,1))</f>
        <v/>
      </c>
      <c r="G7" s="277" t="str">
        <f>IF(Table_Begrotingen_SF[[#This Row],[Deelnemer_opgegeven_in_Aanvraag__c]]="","",_xlfn.XLOOKUP($A7,Table_LuT_Deelnemers[ID Deelnemer],Table_LuT_Deelnemers[Type Organisatie],"",0,1))</f>
        <v/>
      </c>
      <c r="H7" s="277" t="str">
        <f>IF(Table_Begrotingen_SF[[#This Row],[Deelnemer_opgegeven_in_Aanvraag__c]]="","",_xlfn.XLOOKUP($A7,Table_LuT_Deelnemers[ID Deelnemer],Table_LuT_Deelnemers[Vestiging in Nederland],"",0,1))</f>
        <v/>
      </c>
      <c r="I7" s="277" t="str">
        <f ca="1">_xlfn.LET(_xlpm.Var_Bedrag,_xlfn.XLOOKUP($A7,Table_LuT_Deelnemers[ID Deelnemer],Table_LuT_Deelnemers[Kosten FO],"",0,1),IF(_xlpm.Var_Bedrag=0,"",_xlpm.Var_Bedrag))</f>
        <v/>
      </c>
      <c r="J7" s="277" t="str">
        <f ca="1">_xlfn.LET(_xlpm.Var_Bedrag,_xlfn.XLOOKUP($A7,Table_LuT_Deelnemers[ID Deelnemer],Table_LuT_Deelnemers[Kosten IO],"",0,1),IF(_xlpm.Var_Bedrag=0,"",_xlpm.Var_Bedrag))</f>
        <v/>
      </c>
      <c r="K7" s="277" t="str">
        <f ca="1">_xlfn.LET(_xlpm.Var_Bedrag,_xlfn.XLOOKUP($A7,Table_LuT_Deelnemers[ID Deelnemer],Table_LuT_Deelnemers[Kosten EO],"",0,1),IF(_xlpm.Var_Bedrag=0,"",_xlpm.Var_Bedrag))</f>
        <v/>
      </c>
      <c r="L7" s="277" t="str">
        <f ca="1">_xlfn.LET(_xlpm.Var_Bedrag,_xlfn.XLOOKUP($A7,Table_LuT_Deelnemers[ID Deelnemer],Table_LuT_Deelnemers[Kosten Apparatuur],"",0,1),IF(_xlpm.Var_Bedrag=0,"",_xlpm.Var_Bedrag))</f>
        <v/>
      </c>
      <c r="M7" s="277" t="str">
        <f ca="1">_xlfn.LET(_xlpm.Var_Bedrag,_xlfn.XLOOKUP($A7,Table_LuT_Deelnemers[ID Deelnemer],Table_LuT_Deelnemers[Cash Bijdrage],"",0,1),IF(_xlpm.Var_Bedrag=0,"",_xlpm.Var_Bedrag))</f>
        <v/>
      </c>
      <c r="N7" s="277" t="str">
        <f ca="1">_xlfn.LET(_xlpm.Var_Bedrag,_xlfn.XLOOKUP($A7,Table_LuT_Deelnemers[ID Deelnemer],Table_LuT_Deelnemers[Cash Ontvangen],"",0,1),IF(_xlpm.Var_Bedrag=0,"",_xlpm.Var_Bedrag))</f>
        <v/>
      </c>
      <c r="O7" s="277" t="str">
        <f ca="1">_xlfn.LET(_xlpm.Var_Bedrag,_xlfn.XLOOKUP($A7,Table_LuT_Deelnemers[ID Deelnemer],Table_LuT_Deelnemers[In-kind Bijdrage],"",0,1),IF(_xlpm.Var_Bedrag=0,"",_xlpm.Var_Bedrag))</f>
        <v/>
      </c>
      <c r="P7" s="277" t="str">
        <f ca="1">_xlfn.LET(_xlpm.Var_Bedrag,_xlfn.XLOOKUP($A7,Table_LuT_Deelnemers[ID Deelnemer],Table_LuT_Deelnemers[Overige Subsidies],"",0,1),IF(_xlpm.Var_Bedrag=0,"",_xlpm.Var_Bedrag))</f>
        <v/>
      </c>
      <c r="Q7" s="277" t="str">
        <f ca="1">_xlfn.LET(_xlpm.Var_Bedrag,_xlfn.XLOOKUP($A7,Table_LuT_Deelnemers[ID Deelnemer],Table_LuT_Deelnemers[Gevraagde Subsidie FO],"",0,1),IF(_xlpm.Var_Bedrag=0,"",_xlpm.Var_Bedrag))</f>
        <v/>
      </c>
      <c r="R7" s="277" t="str">
        <f ca="1">_xlfn.LET(_xlpm.Var_Bedrag,_xlfn.XLOOKUP($A7,Table_LuT_Deelnemers[ID Deelnemer],Table_LuT_Deelnemers[Gevraagde Subsidie IO],"",0,1),IF(_xlpm.Var_Bedrag=0,"",_xlpm.Var_Bedrag))</f>
        <v/>
      </c>
      <c r="S7" s="277" t="str">
        <f ca="1">_xlfn.LET(_xlpm.Var_Bedrag,_xlfn.XLOOKUP($A7,Table_LuT_Deelnemers[ID Deelnemer],Table_LuT_Deelnemers[Gevraagde Subsidie EO],"",0,1),IF(_xlpm.Var_Bedrag=0,"",_xlpm.Var_Bedrag))</f>
        <v/>
      </c>
    </row>
    <row r="8" spans="1:19" ht="15" customHeight="1" x14ac:dyDescent="0.25">
      <c r="A8" s="333" t="s">
        <v>64</v>
      </c>
      <c r="B8" s="336" t="str">
        <f>_xlfn.XLOOKUP($A8,Table_LuT_Deelnemers[ID Deelnemer],Table_LuT_Deelnemers[Naam Organisatie],"",0,1)</f>
        <v/>
      </c>
      <c r="C8" s="277" t="str">
        <f>IF(Table_Begrotingen_SF[[#This Row],[Deelnemer_opgegeven_in_Aanvraag__c]]="","",_xlfn.XLOOKUP($A8,Table_LuT_Deelnemers[ID Deelnemer],Table_LuT_Deelnemers[Is Buitenlandse Organisatie],"",0,1))</f>
        <v/>
      </c>
      <c r="D8" s="277" t="str">
        <f>IF(Table_Begrotingen_SF[[#This Row],[Deelnemer_opgegeven_in_Aanvraag__c]]="","",_xlfn.XLOOKUP($A8,Table_LuT_Deelnemers[ID Deelnemer],Table_LuT_Deelnemers[Land Organisatie '[indien buitenlands']],"",0,1))</f>
        <v/>
      </c>
      <c r="E8" s="277" t="str">
        <f>IF(Table_Begrotingen_SF[[#This Row],[Deelnemer_opgegeven_in_Aanvraag__c]]="","",_xlfn.XLOOKUP($A8,Table_LuT_Deelnemers[ID Deelnemer],Table_LuT_Deelnemers[KVK-nummer],"",0,1))</f>
        <v/>
      </c>
      <c r="F8" s="277" t="str">
        <f>IF(Table_Begrotingen_SF[[#This Row],[Deelnemer_opgegeven_in_Aanvraag__c]]="","",_xlfn.XLOOKUP($A8,Table_LuT_Deelnemers[ID Deelnemer],Table_LuT_Deelnemers[Website Organisatie],"",0,1))</f>
        <v/>
      </c>
      <c r="G8" s="277" t="str">
        <f>IF(Table_Begrotingen_SF[[#This Row],[Deelnemer_opgegeven_in_Aanvraag__c]]="","",_xlfn.XLOOKUP($A8,Table_LuT_Deelnemers[ID Deelnemer],Table_LuT_Deelnemers[Type Organisatie],"",0,1))</f>
        <v/>
      </c>
      <c r="H8" s="277" t="str">
        <f>IF(Table_Begrotingen_SF[[#This Row],[Deelnemer_opgegeven_in_Aanvraag__c]]="","",_xlfn.XLOOKUP($A8,Table_LuT_Deelnemers[ID Deelnemer],Table_LuT_Deelnemers[Vestiging in Nederland],"",0,1))</f>
        <v/>
      </c>
      <c r="I8" s="277" t="str">
        <f ca="1">_xlfn.LET(_xlpm.Var_Bedrag,_xlfn.XLOOKUP($A8,Table_LuT_Deelnemers[ID Deelnemer],Table_LuT_Deelnemers[Kosten FO],"",0,1),IF(_xlpm.Var_Bedrag=0,"",_xlpm.Var_Bedrag))</f>
        <v/>
      </c>
      <c r="J8" s="277" t="str">
        <f ca="1">_xlfn.LET(_xlpm.Var_Bedrag,_xlfn.XLOOKUP($A8,Table_LuT_Deelnemers[ID Deelnemer],Table_LuT_Deelnemers[Kosten IO],"",0,1),IF(_xlpm.Var_Bedrag=0,"",_xlpm.Var_Bedrag))</f>
        <v/>
      </c>
      <c r="K8" s="277" t="str">
        <f ca="1">_xlfn.LET(_xlpm.Var_Bedrag,_xlfn.XLOOKUP($A8,Table_LuT_Deelnemers[ID Deelnemer],Table_LuT_Deelnemers[Kosten EO],"",0,1),IF(_xlpm.Var_Bedrag=0,"",_xlpm.Var_Bedrag))</f>
        <v/>
      </c>
      <c r="L8" s="277" t="str">
        <f ca="1">_xlfn.LET(_xlpm.Var_Bedrag,_xlfn.XLOOKUP($A8,Table_LuT_Deelnemers[ID Deelnemer],Table_LuT_Deelnemers[Kosten Apparatuur],"",0,1),IF(_xlpm.Var_Bedrag=0,"",_xlpm.Var_Bedrag))</f>
        <v/>
      </c>
      <c r="M8" s="277" t="str">
        <f ca="1">_xlfn.LET(_xlpm.Var_Bedrag,_xlfn.XLOOKUP($A8,Table_LuT_Deelnemers[ID Deelnemer],Table_LuT_Deelnemers[Cash Bijdrage],"",0,1),IF(_xlpm.Var_Bedrag=0,"",_xlpm.Var_Bedrag))</f>
        <v/>
      </c>
      <c r="N8" s="277" t="str">
        <f ca="1">_xlfn.LET(_xlpm.Var_Bedrag,_xlfn.XLOOKUP($A8,Table_LuT_Deelnemers[ID Deelnemer],Table_LuT_Deelnemers[Cash Ontvangen],"",0,1),IF(_xlpm.Var_Bedrag=0,"",_xlpm.Var_Bedrag))</f>
        <v/>
      </c>
      <c r="O8" s="277" t="str">
        <f ca="1">_xlfn.LET(_xlpm.Var_Bedrag,_xlfn.XLOOKUP($A8,Table_LuT_Deelnemers[ID Deelnemer],Table_LuT_Deelnemers[In-kind Bijdrage],"",0,1),IF(_xlpm.Var_Bedrag=0,"",_xlpm.Var_Bedrag))</f>
        <v/>
      </c>
      <c r="P8" s="277" t="str">
        <f ca="1">_xlfn.LET(_xlpm.Var_Bedrag,_xlfn.XLOOKUP($A8,Table_LuT_Deelnemers[ID Deelnemer],Table_LuT_Deelnemers[Overige Subsidies],"",0,1),IF(_xlpm.Var_Bedrag=0,"",_xlpm.Var_Bedrag))</f>
        <v/>
      </c>
      <c r="Q8" s="277" t="str">
        <f ca="1">_xlfn.LET(_xlpm.Var_Bedrag,_xlfn.XLOOKUP($A8,Table_LuT_Deelnemers[ID Deelnemer],Table_LuT_Deelnemers[Gevraagde Subsidie FO],"",0,1),IF(_xlpm.Var_Bedrag=0,"",_xlpm.Var_Bedrag))</f>
        <v/>
      </c>
      <c r="R8" s="277" t="str">
        <f ca="1">_xlfn.LET(_xlpm.Var_Bedrag,_xlfn.XLOOKUP($A8,Table_LuT_Deelnemers[ID Deelnemer],Table_LuT_Deelnemers[Gevraagde Subsidie IO],"",0,1),IF(_xlpm.Var_Bedrag=0,"",_xlpm.Var_Bedrag))</f>
        <v/>
      </c>
      <c r="S8" s="277" t="str">
        <f ca="1">_xlfn.LET(_xlpm.Var_Bedrag,_xlfn.XLOOKUP($A8,Table_LuT_Deelnemers[ID Deelnemer],Table_LuT_Deelnemers[Gevraagde Subsidie EO],"",0,1),IF(_xlpm.Var_Bedrag=0,"",_xlpm.Var_Bedrag))</f>
        <v/>
      </c>
    </row>
    <row r="9" spans="1:19" ht="15" customHeight="1" x14ac:dyDescent="0.25">
      <c r="A9" s="334" t="s">
        <v>65</v>
      </c>
      <c r="B9" s="336" t="str">
        <f>_xlfn.XLOOKUP($A9,Table_LuT_Deelnemers[ID Deelnemer],Table_LuT_Deelnemers[Naam Organisatie],"",0,1)</f>
        <v/>
      </c>
      <c r="C9" s="277" t="str">
        <f>IF(Table_Begrotingen_SF[[#This Row],[Deelnemer_opgegeven_in_Aanvraag__c]]="","",_xlfn.XLOOKUP($A9,Table_LuT_Deelnemers[ID Deelnemer],Table_LuT_Deelnemers[Is Buitenlandse Organisatie],"",0,1))</f>
        <v/>
      </c>
      <c r="D9" s="277" t="str">
        <f>IF(Table_Begrotingen_SF[[#This Row],[Deelnemer_opgegeven_in_Aanvraag__c]]="","",_xlfn.XLOOKUP($A9,Table_LuT_Deelnemers[ID Deelnemer],Table_LuT_Deelnemers[Land Organisatie '[indien buitenlands']],"",0,1))</f>
        <v/>
      </c>
      <c r="E9" s="277" t="str">
        <f>IF(Table_Begrotingen_SF[[#This Row],[Deelnemer_opgegeven_in_Aanvraag__c]]="","",_xlfn.XLOOKUP($A9,Table_LuT_Deelnemers[ID Deelnemer],Table_LuT_Deelnemers[KVK-nummer],"",0,1))</f>
        <v/>
      </c>
      <c r="F9" s="277" t="str">
        <f>IF(Table_Begrotingen_SF[[#This Row],[Deelnemer_opgegeven_in_Aanvraag__c]]="","",_xlfn.XLOOKUP($A9,Table_LuT_Deelnemers[ID Deelnemer],Table_LuT_Deelnemers[Website Organisatie],"",0,1))</f>
        <v/>
      </c>
      <c r="G9" s="277" t="str">
        <f>IF(Table_Begrotingen_SF[[#This Row],[Deelnemer_opgegeven_in_Aanvraag__c]]="","",_xlfn.XLOOKUP($A9,Table_LuT_Deelnemers[ID Deelnemer],Table_LuT_Deelnemers[Type Organisatie],"",0,1))</f>
        <v/>
      </c>
      <c r="H9" s="277" t="str">
        <f>IF(Table_Begrotingen_SF[[#This Row],[Deelnemer_opgegeven_in_Aanvraag__c]]="","",_xlfn.XLOOKUP($A9,Table_LuT_Deelnemers[ID Deelnemer],Table_LuT_Deelnemers[Vestiging in Nederland],"",0,1))</f>
        <v/>
      </c>
      <c r="I9" s="277" t="str">
        <f ca="1">_xlfn.LET(_xlpm.Var_Bedrag,_xlfn.XLOOKUP($A9,Table_LuT_Deelnemers[ID Deelnemer],Table_LuT_Deelnemers[Kosten FO],"",0,1),IF(_xlpm.Var_Bedrag=0,"",_xlpm.Var_Bedrag))</f>
        <v/>
      </c>
      <c r="J9" s="277" t="str">
        <f ca="1">_xlfn.LET(_xlpm.Var_Bedrag,_xlfn.XLOOKUP($A9,Table_LuT_Deelnemers[ID Deelnemer],Table_LuT_Deelnemers[Kosten IO],"",0,1),IF(_xlpm.Var_Bedrag=0,"",_xlpm.Var_Bedrag))</f>
        <v/>
      </c>
      <c r="K9" s="277" t="str">
        <f ca="1">_xlfn.LET(_xlpm.Var_Bedrag,_xlfn.XLOOKUP($A9,Table_LuT_Deelnemers[ID Deelnemer],Table_LuT_Deelnemers[Kosten EO],"",0,1),IF(_xlpm.Var_Bedrag=0,"",_xlpm.Var_Bedrag))</f>
        <v/>
      </c>
      <c r="L9" s="277" t="str">
        <f ca="1">_xlfn.LET(_xlpm.Var_Bedrag,_xlfn.XLOOKUP($A9,Table_LuT_Deelnemers[ID Deelnemer],Table_LuT_Deelnemers[Kosten Apparatuur],"",0,1),IF(_xlpm.Var_Bedrag=0,"",_xlpm.Var_Bedrag))</f>
        <v/>
      </c>
      <c r="M9" s="277" t="str">
        <f ca="1">_xlfn.LET(_xlpm.Var_Bedrag,_xlfn.XLOOKUP($A9,Table_LuT_Deelnemers[ID Deelnemer],Table_LuT_Deelnemers[Cash Bijdrage],"",0,1),IF(_xlpm.Var_Bedrag=0,"",_xlpm.Var_Bedrag))</f>
        <v/>
      </c>
      <c r="N9" s="277" t="str">
        <f ca="1">_xlfn.LET(_xlpm.Var_Bedrag,_xlfn.XLOOKUP($A9,Table_LuT_Deelnemers[ID Deelnemer],Table_LuT_Deelnemers[Cash Ontvangen],"",0,1),IF(_xlpm.Var_Bedrag=0,"",_xlpm.Var_Bedrag))</f>
        <v/>
      </c>
      <c r="O9" s="277" t="str">
        <f ca="1">_xlfn.LET(_xlpm.Var_Bedrag,_xlfn.XLOOKUP($A9,Table_LuT_Deelnemers[ID Deelnemer],Table_LuT_Deelnemers[In-kind Bijdrage],"",0,1),IF(_xlpm.Var_Bedrag=0,"",_xlpm.Var_Bedrag))</f>
        <v/>
      </c>
      <c r="P9" s="277" t="str">
        <f ca="1">_xlfn.LET(_xlpm.Var_Bedrag,_xlfn.XLOOKUP($A9,Table_LuT_Deelnemers[ID Deelnemer],Table_LuT_Deelnemers[Overige Subsidies],"",0,1),IF(_xlpm.Var_Bedrag=0,"",_xlpm.Var_Bedrag))</f>
        <v/>
      </c>
      <c r="Q9" s="277" t="str">
        <f ca="1">_xlfn.LET(_xlpm.Var_Bedrag,_xlfn.XLOOKUP($A9,Table_LuT_Deelnemers[ID Deelnemer],Table_LuT_Deelnemers[Gevraagde Subsidie FO],"",0,1),IF(_xlpm.Var_Bedrag=0,"",_xlpm.Var_Bedrag))</f>
        <v/>
      </c>
      <c r="R9" s="277" t="str">
        <f ca="1">_xlfn.LET(_xlpm.Var_Bedrag,_xlfn.XLOOKUP($A9,Table_LuT_Deelnemers[ID Deelnemer],Table_LuT_Deelnemers[Gevraagde Subsidie IO],"",0,1),IF(_xlpm.Var_Bedrag=0,"",_xlpm.Var_Bedrag))</f>
        <v/>
      </c>
      <c r="S9" s="277" t="str">
        <f ca="1">_xlfn.LET(_xlpm.Var_Bedrag,_xlfn.XLOOKUP($A9,Table_LuT_Deelnemers[ID Deelnemer],Table_LuT_Deelnemers[Gevraagde Subsidie EO],"",0,1),IF(_xlpm.Var_Bedrag=0,"",_xlpm.Var_Bedrag))</f>
        <v/>
      </c>
    </row>
    <row r="10" spans="1:19" ht="15" customHeight="1" x14ac:dyDescent="0.25">
      <c r="A10" s="333" t="s">
        <v>66</v>
      </c>
      <c r="B10" s="336" t="str">
        <f>_xlfn.XLOOKUP($A10,Table_LuT_Deelnemers[ID Deelnemer],Table_LuT_Deelnemers[Naam Organisatie],"",0,1)</f>
        <v/>
      </c>
      <c r="C10" s="277" t="str">
        <f>IF(Table_Begrotingen_SF[[#This Row],[Deelnemer_opgegeven_in_Aanvraag__c]]="","",_xlfn.XLOOKUP($A10,Table_LuT_Deelnemers[ID Deelnemer],Table_LuT_Deelnemers[Is Buitenlandse Organisatie],"",0,1))</f>
        <v/>
      </c>
      <c r="D10" s="277" t="str">
        <f>IF(Table_Begrotingen_SF[[#This Row],[Deelnemer_opgegeven_in_Aanvraag__c]]="","",_xlfn.XLOOKUP($A10,Table_LuT_Deelnemers[ID Deelnemer],Table_LuT_Deelnemers[Land Organisatie '[indien buitenlands']],"",0,1))</f>
        <v/>
      </c>
      <c r="E10" s="277" t="str">
        <f>IF(Table_Begrotingen_SF[[#This Row],[Deelnemer_opgegeven_in_Aanvraag__c]]="","",_xlfn.XLOOKUP($A10,Table_LuT_Deelnemers[ID Deelnemer],Table_LuT_Deelnemers[KVK-nummer],"",0,1))</f>
        <v/>
      </c>
      <c r="F10" s="277" t="str">
        <f>IF(Table_Begrotingen_SF[[#This Row],[Deelnemer_opgegeven_in_Aanvraag__c]]="","",_xlfn.XLOOKUP($A10,Table_LuT_Deelnemers[ID Deelnemer],Table_LuT_Deelnemers[Website Organisatie],"",0,1))</f>
        <v/>
      </c>
      <c r="G10" s="277" t="str">
        <f>IF(Table_Begrotingen_SF[[#This Row],[Deelnemer_opgegeven_in_Aanvraag__c]]="","",_xlfn.XLOOKUP($A10,Table_LuT_Deelnemers[ID Deelnemer],Table_LuT_Deelnemers[Type Organisatie],"",0,1))</f>
        <v/>
      </c>
      <c r="H10" s="277" t="str">
        <f>IF(Table_Begrotingen_SF[[#This Row],[Deelnemer_opgegeven_in_Aanvraag__c]]="","",_xlfn.XLOOKUP($A10,Table_LuT_Deelnemers[ID Deelnemer],Table_LuT_Deelnemers[Vestiging in Nederland],"",0,1))</f>
        <v/>
      </c>
      <c r="I10" s="277" t="str">
        <f ca="1">_xlfn.LET(_xlpm.Var_Bedrag,_xlfn.XLOOKUP($A10,Table_LuT_Deelnemers[ID Deelnemer],Table_LuT_Deelnemers[Kosten FO],"",0,1),IF(_xlpm.Var_Bedrag=0,"",_xlpm.Var_Bedrag))</f>
        <v/>
      </c>
      <c r="J10" s="277" t="str">
        <f ca="1">_xlfn.LET(_xlpm.Var_Bedrag,_xlfn.XLOOKUP($A10,Table_LuT_Deelnemers[ID Deelnemer],Table_LuT_Deelnemers[Kosten IO],"",0,1),IF(_xlpm.Var_Bedrag=0,"",_xlpm.Var_Bedrag))</f>
        <v/>
      </c>
      <c r="K10" s="277" t="str">
        <f ca="1">_xlfn.LET(_xlpm.Var_Bedrag,_xlfn.XLOOKUP($A10,Table_LuT_Deelnemers[ID Deelnemer],Table_LuT_Deelnemers[Kosten EO],"",0,1),IF(_xlpm.Var_Bedrag=0,"",_xlpm.Var_Bedrag))</f>
        <v/>
      </c>
      <c r="L10" s="277" t="str">
        <f ca="1">_xlfn.LET(_xlpm.Var_Bedrag,_xlfn.XLOOKUP($A10,Table_LuT_Deelnemers[ID Deelnemer],Table_LuT_Deelnemers[Kosten Apparatuur],"",0,1),IF(_xlpm.Var_Bedrag=0,"",_xlpm.Var_Bedrag))</f>
        <v/>
      </c>
      <c r="M10" s="277" t="str">
        <f ca="1">_xlfn.LET(_xlpm.Var_Bedrag,_xlfn.XLOOKUP($A10,Table_LuT_Deelnemers[ID Deelnemer],Table_LuT_Deelnemers[Cash Bijdrage],"",0,1),IF(_xlpm.Var_Bedrag=0,"",_xlpm.Var_Bedrag))</f>
        <v/>
      </c>
      <c r="N10" s="277" t="str">
        <f ca="1">_xlfn.LET(_xlpm.Var_Bedrag,_xlfn.XLOOKUP($A10,Table_LuT_Deelnemers[ID Deelnemer],Table_LuT_Deelnemers[Cash Ontvangen],"",0,1),IF(_xlpm.Var_Bedrag=0,"",_xlpm.Var_Bedrag))</f>
        <v/>
      </c>
      <c r="O10" s="277" t="str">
        <f ca="1">_xlfn.LET(_xlpm.Var_Bedrag,_xlfn.XLOOKUP($A10,Table_LuT_Deelnemers[ID Deelnemer],Table_LuT_Deelnemers[In-kind Bijdrage],"",0,1),IF(_xlpm.Var_Bedrag=0,"",_xlpm.Var_Bedrag))</f>
        <v/>
      </c>
      <c r="P10" s="277" t="str">
        <f ca="1">_xlfn.LET(_xlpm.Var_Bedrag,_xlfn.XLOOKUP($A10,Table_LuT_Deelnemers[ID Deelnemer],Table_LuT_Deelnemers[Overige Subsidies],"",0,1),IF(_xlpm.Var_Bedrag=0,"",_xlpm.Var_Bedrag))</f>
        <v/>
      </c>
      <c r="Q10" s="277" t="str">
        <f ca="1">_xlfn.LET(_xlpm.Var_Bedrag,_xlfn.XLOOKUP($A10,Table_LuT_Deelnemers[ID Deelnemer],Table_LuT_Deelnemers[Gevraagde Subsidie FO],"",0,1),IF(_xlpm.Var_Bedrag=0,"",_xlpm.Var_Bedrag))</f>
        <v/>
      </c>
      <c r="R10" s="277" t="str">
        <f ca="1">_xlfn.LET(_xlpm.Var_Bedrag,_xlfn.XLOOKUP($A10,Table_LuT_Deelnemers[ID Deelnemer],Table_LuT_Deelnemers[Gevraagde Subsidie IO],"",0,1),IF(_xlpm.Var_Bedrag=0,"",_xlpm.Var_Bedrag))</f>
        <v/>
      </c>
      <c r="S10" s="277" t="str">
        <f ca="1">_xlfn.LET(_xlpm.Var_Bedrag,_xlfn.XLOOKUP($A10,Table_LuT_Deelnemers[ID Deelnemer],Table_LuT_Deelnemers[Gevraagde Subsidie EO],"",0,1),IF(_xlpm.Var_Bedrag=0,"",_xlpm.Var_Bedrag))</f>
        <v/>
      </c>
    </row>
    <row r="11" spans="1:19" ht="15" customHeight="1" x14ac:dyDescent="0.25">
      <c r="A11" s="334" t="s">
        <v>67</v>
      </c>
      <c r="B11" s="336" t="str">
        <f>_xlfn.XLOOKUP($A11,Table_LuT_Deelnemers[ID Deelnemer],Table_LuT_Deelnemers[Naam Organisatie],"",0,1)</f>
        <v/>
      </c>
      <c r="C11" s="277" t="str">
        <f>IF(Table_Begrotingen_SF[[#This Row],[Deelnemer_opgegeven_in_Aanvraag__c]]="","",_xlfn.XLOOKUP($A11,Table_LuT_Deelnemers[ID Deelnemer],Table_LuT_Deelnemers[Is Buitenlandse Organisatie],"",0,1))</f>
        <v/>
      </c>
      <c r="D11" s="277" t="str">
        <f>IF(Table_Begrotingen_SF[[#This Row],[Deelnemer_opgegeven_in_Aanvraag__c]]="","",_xlfn.XLOOKUP($A11,Table_LuT_Deelnemers[ID Deelnemer],Table_LuT_Deelnemers[Land Organisatie '[indien buitenlands']],"",0,1))</f>
        <v/>
      </c>
      <c r="E11" s="277" t="str">
        <f>IF(Table_Begrotingen_SF[[#This Row],[Deelnemer_opgegeven_in_Aanvraag__c]]="","",_xlfn.XLOOKUP($A11,Table_LuT_Deelnemers[ID Deelnemer],Table_LuT_Deelnemers[KVK-nummer],"",0,1))</f>
        <v/>
      </c>
      <c r="F11" s="277" t="str">
        <f>IF(Table_Begrotingen_SF[[#This Row],[Deelnemer_opgegeven_in_Aanvraag__c]]="","",_xlfn.XLOOKUP($A11,Table_LuT_Deelnemers[ID Deelnemer],Table_LuT_Deelnemers[Website Organisatie],"",0,1))</f>
        <v/>
      </c>
      <c r="G11" s="277" t="str">
        <f>IF(Table_Begrotingen_SF[[#This Row],[Deelnemer_opgegeven_in_Aanvraag__c]]="","",_xlfn.XLOOKUP($A11,Table_LuT_Deelnemers[ID Deelnemer],Table_LuT_Deelnemers[Type Organisatie],"",0,1))</f>
        <v/>
      </c>
      <c r="H11" s="277" t="str">
        <f>IF(Table_Begrotingen_SF[[#This Row],[Deelnemer_opgegeven_in_Aanvraag__c]]="","",_xlfn.XLOOKUP($A11,Table_LuT_Deelnemers[ID Deelnemer],Table_LuT_Deelnemers[Vestiging in Nederland],"",0,1))</f>
        <v/>
      </c>
      <c r="I11" s="277" t="str">
        <f ca="1">_xlfn.LET(_xlpm.Var_Bedrag,_xlfn.XLOOKUP($A11,Table_LuT_Deelnemers[ID Deelnemer],Table_LuT_Deelnemers[Kosten FO],"",0,1),IF(_xlpm.Var_Bedrag=0,"",_xlpm.Var_Bedrag))</f>
        <v/>
      </c>
      <c r="J11" s="277" t="str">
        <f ca="1">_xlfn.LET(_xlpm.Var_Bedrag,_xlfn.XLOOKUP($A11,Table_LuT_Deelnemers[ID Deelnemer],Table_LuT_Deelnemers[Kosten IO],"",0,1),IF(_xlpm.Var_Bedrag=0,"",_xlpm.Var_Bedrag))</f>
        <v/>
      </c>
      <c r="K11" s="277" t="str">
        <f ca="1">_xlfn.LET(_xlpm.Var_Bedrag,_xlfn.XLOOKUP($A11,Table_LuT_Deelnemers[ID Deelnemer],Table_LuT_Deelnemers[Kosten EO],"",0,1),IF(_xlpm.Var_Bedrag=0,"",_xlpm.Var_Bedrag))</f>
        <v/>
      </c>
      <c r="L11" s="277" t="str">
        <f ca="1">_xlfn.LET(_xlpm.Var_Bedrag,_xlfn.XLOOKUP($A11,Table_LuT_Deelnemers[ID Deelnemer],Table_LuT_Deelnemers[Kosten Apparatuur],"",0,1),IF(_xlpm.Var_Bedrag=0,"",_xlpm.Var_Bedrag))</f>
        <v/>
      </c>
      <c r="M11" s="277" t="str">
        <f ca="1">_xlfn.LET(_xlpm.Var_Bedrag,_xlfn.XLOOKUP($A11,Table_LuT_Deelnemers[ID Deelnemer],Table_LuT_Deelnemers[Cash Bijdrage],"",0,1),IF(_xlpm.Var_Bedrag=0,"",_xlpm.Var_Bedrag))</f>
        <v/>
      </c>
      <c r="N11" s="277" t="str">
        <f ca="1">_xlfn.LET(_xlpm.Var_Bedrag,_xlfn.XLOOKUP($A11,Table_LuT_Deelnemers[ID Deelnemer],Table_LuT_Deelnemers[Cash Ontvangen],"",0,1),IF(_xlpm.Var_Bedrag=0,"",_xlpm.Var_Bedrag))</f>
        <v/>
      </c>
      <c r="O11" s="277" t="str">
        <f ca="1">_xlfn.LET(_xlpm.Var_Bedrag,_xlfn.XLOOKUP($A11,Table_LuT_Deelnemers[ID Deelnemer],Table_LuT_Deelnemers[In-kind Bijdrage],"",0,1),IF(_xlpm.Var_Bedrag=0,"",_xlpm.Var_Bedrag))</f>
        <v/>
      </c>
      <c r="P11" s="277" t="str">
        <f ca="1">_xlfn.LET(_xlpm.Var_Bedrag,_xlfn.XLOOKUP($A11,Table_LuT_Deelnemers[ID Deelnemer],Table_LuT_Deelnemers[Overige Subsidies],"",0,1),IF(_xlpm.Var_Bedrag=0,"",_xlpm.Var_Bedrag))</f>
        <v/>
      </c>
      <c r="Q11" s="277" t="str">
        <f ca="1">_xlfn.LET(_xlpm.Var_Bedrag,_xlfn.XLOOKUP($A11,Table_LuT_Deelnemers[ID Deelnemer],Table_LuT_Deelnemers[Gevraagde Subsidie FO],"",0,1),IF(_xlpm.Var_Bedrag=0,"",_xlpm.Var_Bedrag))</f>
        <v/>
      </c>
      <c r="R11" s="277" t="str">
        <f ca="1">_xlfn.LET(_xlpm.Var_Bedrag,_xlfn.XLOOKUP($A11,Table_LuT_Deelnemers[ID Deelnemer],Table_LuT_Deelnemers[Gevraagde Subsidie IO],"",0,1),IF(_xlpm.Var_Bedrag=0,"",_xlpm.Var_Bedrag))</f>
        <v/>
      </c>
      <c r="S11" s="277" t="str">
        <f ca="1">_xlfn.LET(_xlpm.Var_Bedrag,_xlfn.XLOOKUP($A11,Table_LuT_Deelnemers[ID Deelnemer],Table_LuT_Deelnemers[Gevraagde Subsidie EO],"",0,1),IF(_xlpm.Var_Bedrag=0,"",_xlpm.Var_Bedrag))</f>
        <v/>
      </c>
    </row>
    <row r="12" spans="1:19" ht="15" customHeight="1" x14ac:dyDescent="0.25">
      <c r="A12" s="333" t="s">
        <v>189</v>
      </c>
      <c r="B12" s="336" t="str">
        <f>_xlfn.XLOOKUP($A12,Table_LuT_Deelnemers[ID Deelnemer],Table_LuT_Deelnemers[Naam Organisatie],"",0,1)</f>
        <v/>
      </c>
      <c r="C12" s="277" t="str">
        <f>IF(Table_Begrotingen_SF[[#This Row],[Deelnemer_opgegeven_in_Aanvraag__c]]="","",_xlfn.XLOOKUP($A12,Table_LuT_Deelnemers[ID Deelnemer],Table_LuT_Deelnemers[Is Buitenlandse Organisatie],"",0,1))</f>
        <v/>
      </c>
      <c r="D12" s="277" t="str">
        <f>IF(Table_Begrotingen_SF[[#This Row],[Deelnemer_opgegeven_in_Aanvraag__c]]="","",_xlfn.XLOOKUP($A12,Table_LuT_Deelnemers[ID Deelnemer],Table_LuT_Deelnemers[Land Organisatie '[indien buitenlands']],"",0,1))</f>
        <v/>
      </c>
      <c r="E12" s="277" t="str">
        <f>IF(Table_Begrotingen_SF[[#This Row],[Deelnemer_opgegeven_in_Aanvraag__c]]="","",_xlfn.XLOOKUP($A12,Table_LuT_Deelnemers[ID Deelnemer],Table_LuT_Deelnemers[KVK-nummer],"",0,1))</f>
        <v/>
      </c>
      <c r="F12" s="277" t="str">
        <f>IF(Table_Begrotingen_SF[[#This Row],[Deelnemer_opgegeven_in_Aanvraag__c]]="","",_xlfn.XLOOKUP($A12,Table_LuT_Deelnemers[ID Deelnemer],Table_LuT_Deelnemers[Website Organisatie],"",0,1))</f>
        <v/>
      </c>
      <c r="G12" s="277" t="str">
        <f>IF(Table_Begrotingen_SF[[#This Row],[Deelnemer_opgegeven_in_Aanvraag__c]]="","",_xlfn.XLOOKUP($A12,Table_LuT_Deelnemers[ID Deelnemer],Table_LuT_Deelnemers[Type Organisatie],"",0,1))</f>
        <v/>
      </c>
      <c r="H12" s="277" t="str">
        <f>IF(Table_Begrotingen_SF[[#This Row],[Deelnemer_opgegeven_in_Aanvraag__c]]="","",_xlfn.XLOOKUP($A12,Table_LuT_Deelnemers[ID Deelnemer],Table_LuT_Deelnemers[Vestiging in Nederland],"",0,1))</f>
        <v/>
      </c>
      <c r="I12" s="277" t="str">
        <f ca="1">_xlfn.LET(_xlpm.Var_Bedrag,_xlfn.XLOOKUP($A12,Table_LuT_Deelnemers[ID Deelnemer],Table_LuT_Deelnemers[Kosten FO],"",0,1),IF(_xlpm.Var_Bedrag=0,"",_xlpm.Var_Bedrag))</f>
        <v/>
      </c>
      <c r="J12" s="277" t="str">
        <f ca="1">_xlfn.LET(_xlpm.Var_Bedrag,_xlfn.XLOOKUP($A12,Table_LuT_Deelnemers[ID Deelnemer],Table_LuT_Deelnemers[Kosten IO],"",0,1),IF(_xlpm.Var_Bedrag=0,"",_xlpm.Var_Bedrag))</f>
        <v/>
      </c>
      <c r="K12" s="277" t="str">
        <f ca="1">_xlfn.LET(_xlpm.Var_Bedrag,_xlfn.XLOOKUP($A12,Table_LuT_Deelnemers[ID Deelnemer],Table_LuT_Deelnemers[Kosten EO],"",0,1),IF(_xlpm.Var_Bedrag=0,"",_xlpm.Var_Bedrag))</f>
        <v/>
      </c>
      <c r="L12" s="277" t="str">
        <f ca="1">_xlfn.LET(_xlpm.Var_Bedrag,_xlfn.XLOOKUP($A12,Table_LuT_Deelnemers[ID Deelnemer],Table_LuT_Deelnemers[Kosten Apparatuur],"",0,1),IF(_xlpm.Var_Bedrag=0,"",_xlpm.Var_Bedrag))</f>
        <v/>
      </c>
      <c r="M12" s="277" t="str">
        <f ca="1">_xlfn.LET(_xlpm.Var_Bedrag,_xlfn.XLOOKUP($A12,Table_LuT_Deelnemers[ID Deelnemer],Table_LuT_Deelnemers[Cash Bijdrage],"",0,1),IF(_xlpm.Var_Bedrag=0,"",_xlpm.Var_Bedrag))</f>
        <v/>
      </c>
      <c r="N12" s="277" t="str">
        <f ca="1">_xlfn.LET(_xlpm.Var_Bedrag,_xlfn.XLOOKUP($A12,Table_LuT_Deelnemers[ID Deelnemer],Table_LuT_Deelnemers[Cash Ontvangen],"",0,1),IF(_xlpm.Var_Bedrag=0,"",_xlpm.Var_Bedrag))</f>
        <v/>
      </c>
      <c r="O12" s="277" t="str">
        <f ca="1">_xlfn.LET(_xlpm.Var_Bedrag,_xlfn.XLOOKUP($A12,Table_LuT_Deelnemers[ID Deelnemer],Table_LuT_Deelnemers[In-kind Bijdrage],"",0,1),IF(_xlpm.Var_Bedrag=0,"",_xlpm.Var_Bedrag))</f>
        <v/>
      </c>
      <c r="P12" s="277" t="str">
        <f ca="1">_xlfn.LET(_xlpm.Var_Bedrag,_xlfn.XLOOKUP($A12,Table_LuT_Deelnemers[ID Deelnemer],Table_LuT_Deelnemers[Overige Subsidies],"",0,1),IF(_xlpm.Var_Bedrag=0,"",_xlpm.Var_Bedrag))</f>
        <v/>
      </c>
      <c r="Q12" s="277" t="str">
        <f ca="1">_xlfn.LET(_xlpm.Var_Bedrag,_xlfn.XLOOKUP($A12,Table_LuT_Deelnemers[ID Deelnemer],Table_LuT_Deelnemers[Gevraagde Subsidie FO],"",0,1),IF(_xlpm.Var_Bedrag=0,"",_xlpm.Var_Bedrag))</f>
        <v/>
      </c>
      <c r="R12" s="277" t="str">
        <f ca="1">_xlfn.LET(_xlpm.Var_Bedrag,_xlfn.XLOOKUP($A12,Table_LuT_Deelnemers[ID Deelnemer],Table_LuT_Deelnemers[Gevraagde Subsidie IO],"",0,1),IF(_xlpm.Var_Bedrag=0,"",_xlpm.Var_Bedrag))</f>
        <v/>
      </c>
      <c r="S12" s="277" t="str">
        <f ca="1">_xlfn.LET(_xlpm.Var_Bedrag,_xlfn.XLOOKUP($A12,Table_LuT_Deelnemers[ID Deelnemer],Table_LuT_Deelnemers[Gevraagde Subsidie EO],"",0,1),IF(_xlpm.Var_Bedrag=0,"",_xlpm.Var_Bedrag))</f>
        <v/>
      </c>
    </row>
    <row r="13" spans="1:19" ht="15" customHeight="1" x14ac:dyDescent="0.25">
      <c r="A13" s="334" t="s">
        <v>190</v>
      </c>
      <c r="B13" s="336" t="str">
        <f>_xlfn.XLOOKUP($A13,Table_LuT_Deelnemers[ID Deelnemer],Table_LuT_Deelnemers[Naam Organisatie],"",0,1)</f>
        <v/>
      </c>
      <c r="C13" s="277" t="str">
        <f>IF(Table_Begrotingen_SF[[#This Row],[Deelnemer_opgegeven_in_Aanvraag__c]]="","",_xlfn.XLOOKUP($A13,Table_LuT_Deelnemers[ID Deelnemer],Table_LuT_Deelnemers[Is Buitenlandse Organisatie],"",0,1))</f>
        <v/>
      </c>
      <c r="D13" s="277" t="str">
        <f>IF(Table_Begrotingen_SF[[#This Row],[Deelnemer_opgegeven_in_Aanvraag__c]]="","",_xlfn.XLOOKUP($A13,Table_LuT_Deelnemers[ID Deelnemer],Table_LuT_Deelnemers[Land Organisatie '[indien buitenlands']],"",0,1))</f>
        <v/>
      </c>
      <c r="E13" s="277" t="str">
        <f>IF(Table_Begrotingen_SF[[#This Row],[Deelnemer_opgegeven_in_Aanvraag__c]]="","",_xlfn.XLOOKUP($A13,Table_LuT_Deelnemers[ID Deelnemer],Table_LuT_Deelnemers[KVK-nummer],"",0,1))</f>
        <v/>
      </c>
      <c r="F13" s="277" t="str">
        <f>IF(Table_Begrotingen_SF[[#This Row],[Deelnemer_opgegeven_in_Aanvraag__c]]="","",_xlfn.XLOOKUP($A13,Table_LuT_Deelnemers[ID Deelnemer],Table_LuT_Deelnemers[Website Organisatie],"",0,1))</f>
        <v/>
      </c>
      <c r="G13" s="277" t="str">
        <f>IF(Table_Begrotingen_SF[[#This Row],[Deelnemer_opgegeven_in_Aanvraag__c]]="","",_xlfn.XLOOKUP($A13,Table_LuT_Deelnemers[ID Deelnemer],Table_LuT_Deelnemers[Type Organisatie],"",0,1))</f>
        <v/>
      </c>
      <c r="H13" s="277" t="str">
        <f>IF(Table_Begrotingen_SF[[#This Row],[Deelnemer_opgegeven_in_Aanvraag__c]]="","",_xlfn.XLOOKUP($A13,Table_LuT_Deelnemers[ID Deelnemer],Table_LuT_Deelnemers[Vestiging in Nederland],"",0,1))</f>
        <v/>
      </c>
      <c r="I13" s="277" t="str">
        <f ca="1">_xlfn.LET(_xlpm.Var_Bedrag,_xlfn.XLOOKUP($A13,Table_LuT_Deelnemers[ID Deelnemer],Table_LuT_Deelnemers[Kosten FO],"",0,1),IF(_xlpm.Var_Bedrag=0,"",_xlpm.Var_Bedrag))</f>
        <v/>
      </c>
      <c r="J13" s="277" t="str">
        <f ca="1">_xlfn.LET(_xlpm.Var_Bedrag,_xlfn.XLOOKUP($A13,Table_LuT_Deelnemers[ID Deelnemer],Table_LuT_Deelnemers[Kosten IO],"",0,1),IF(_xlpm.Var_Bedrag=0,"",_xlpm.Var_Bedrag))</f>
        <v/>
      </c>
      <c r="K13" s="277" t="str">
        <f ca="1">_xlfn.LET(_xlpm.Var_Bedrag,_xlfn.XLOOKUP($A13,Table_LuT_Deelnemers[ID Deelnemer],Table_LuT_Deelnemers[Kosten EO],"",0,1),IF(_xlpm.Var_Bedrag=0,"",_xlpm.Var_Bedrag))</f>
        <v/>
      </c>
      <c r="L13" s="277" t="str">
        <f ca="1">_xlfn.LET(_xlpm.Var_Bedrag,_xlfn.XLOOKUP($A13,Table_LuT_Deelnemers[ID Deelnemer],Table_LuT_Deelnemers[Kosten Apparatuur],"",0,1),IF(_xlpm.Var_Bedrag=0,"",_xlpm.Var_Bedrag))</f>
        <v/>
      </c>
      <c r="M13" s="277" t="str">
        <f ca="1">_xlfn.LET(_xlpm.Var_Bedrag,_xlfn.XLOOKUP($A13,Table_LuT_Deelnemers[ID Deelnemer],Table_LuT_Deelnemers[Cash Bijdrage],"",0,1),IF(_xlpm.Var_Bedrag=0,"",_xlpm.Var_Bedrag))</f>
        <v/>
      </c>
      <c r="N13" s="277" t="str">
        <f ca="1">_xlfn.LET(_xlpm.Var_Bedrag,_xlfn.XLOOKUP($A13,Table_LuT_Deelnemers[ID Deelnemer],Table_LuT_Deelnemers[Cash Ontvangen],"",0,1),IF(_xlpm.Var_Bedrag=0,"",_xlpm.Var_Bedrag))</f>
        <v/>
      </c>
      <c r="O13" s="277" t="str">
        <f ca="1">_xlfn.LET(_xlpm.Var_Bedrag,_xlfn.XLOOKUP($A13,Table_LuT_Deelnemers[ID Deelnemer],Table_LuT_Deelnemers[In-kind Bijdrage],"",0,1),IF(_xlpm.Var_Bedrag=0,"",_xlpm.Var_Bedrag))</f>
        <v/>
      </c>
      <c r="P13" s="277" t="str">
        <f ca="1">_xlfn.LET(_xlpm.Var_Bedrag,_xlfn.XLOOKUP($A13,Table_LuT_Deelnemers[ID Deelnemer],Table_LuT_Deelnemers[Overige Subsidies],"",0,1),IF(_xlpm.Var_Bedrag=0,"",_xlpm.Var_Bedrag))</f>
        <v/>
      </c>
      <c r="Q13" s="277" t="str">
        <f ca="1">_xlfn.LET(_xlpm.Var_Bedrag,_xlfn.XLOOKUP($A13,Table_LuT_Deelnemers[ID Deelnemer],Table_LuT_Deelnemers[Gevraagde Subsidie FO],"",0,1),IF(_xlpm.Var_Bedrag=0,"",_xlpm.Var_Bedrag))</f>
        <v/>
      </c>
      <c r="R13" s="277" t="str">
        <f ca="1">_xlfn.LET(_xlpm.Var_Bedrag,_xlfn.XLOOKUP($A13,Table_LuT_Deelnemers[ID Deelnemer],Table_LuT_Deelnemers[Gevraagde Subsidie IO],"",0,1),IF(_xlpm.Var_Bedrag=0,"",_xlpm.Var_Bedrag))</f>
        <v/>
      </c>
      <c r="S13" s="277" t="str">
        <f ca="1">_xlfn.LET(_xlpm.Var_Bedrag,_xlfn.XLOOKUP($A13,Table_LuT_Deelnemers[ID Deelnemer],Table_LuT_Deelnemers[Gevraagde Subsidie EO],"",0,1),IF(_xlpm.Var_Bedrag=0,"",_xlpm.Var_Bedrag))</f>
        <v/>
      </c>
    </row>
    <row r="14" spans="1:19" ht="15" customHeight="1" x14ac:dyDescent="0.25">
      <c r="A14" s="333" t="s">
        <v>191</v>
      </c>
      <c r="B14" s="336" t="str">
        <f>_xlfn.XLOOKUP($A14,Table_LuT_Deelnemers[ID Deelnemer],Table_LuT_Deelnemers[Naam Organisatie],"",0,1)</f>
        <v/>
      </c>
      <c r="C14" s="277" t="str">
        <f>IF(Table_Begrotingen_SF[[#This Row],[Deelnemer_opgegeven_in_Aanvraag__c]]="","",_xlfn.XLOOKUP($A14,Table_LuT_Deelnemers[ID Deelnemer],Table_LuT_Deelnemers[Is Buitenlandse Organisatie],"",0,1))</f>
        <v/>
      </c>
      <c r="D14" s="277" t="str">
        <f>IF(Table_Begrotingen_SF[[#This Row],[Deelnemer_opgegeven_in_Aanvraag__c]]="","",_xlfn.XLOOKUP($A14,Table_LuT_Deelnemers[ID Deelnemer],Table_LuT_Deelnemers[Land Organisatie '[indien buitenlands']],"",0,1))</f>
        <v/>
      </c>
      <c r="E14" s="277" t="str">
        <f>IF(Table_Begrotingen_SF[[#This Row],[Deelnemer_opgegeven_in_Aanvraag__c]]="","",_xlfn.XLOOKUP($A14,Table_LuT_Deelnemers[ID Deelnemer],Table_LuT_Deelnemers[KVK-nummer],"",0,1))</f>
        <v/>
      </c>
      <c r="F14" s="277" t="str">
        <f>IF(Table_Begrotingen_SF[[#This Row],[Deelnemer_opgegeven_in_Aanvraag__c]]="","",_xlfn.XLOOKUP($A14,Table_LuT_Deelnemers[ID Deelnemer],Table_LuT_Deelnemers[Website Organisatie],"",0,1))</f>
        <v/>
      </c>
      <c r="G14" s="277" t="str">
        <f>IF(Table_Begrotingen_SF[[#This Row],[Deelnemer_opgegeven_in_Aanvraag__c]]="","",_xlfn.XLOOKUP($A14,Table_LuT_Deelnemers[ID Deelnemer],Table_LuT_Deelnemers[Type Organisatie],"",0,1))</f>
        <v/>
      </c>
      <c r="H14" s="277" t="str">
        <f>IF(Table_Begrotingen_SF[[#This Row],[Deelnemer_opgegeven_in_Aanvraag__c]]="","",_xlfn.XLOOKUP($A14,Table_LuT_Deelnemers[ID Deelnemer],Table_LuT_Deelnemers[Vestiging in Nederland],"",0,1))</f>
        <v/>
      </c>
      <c r="I14" s="277" t="str">
        <f ca="1">_xlfn.LET(_xlpm.Var_Bedrag,_xlfn.XLOOKUP($A14,Table_LuT_Deelnemers[ID Deelnemer],Table_LuT_Deelnemers[Kosten FO],"",0,1),IF(_xlpm.Var_Bedrag=0,"",_xlpm.Var_Bedrag))</f>
        <v/>
      </c>
      <c r="J14" s="277" t="str">
        <f ca="1">_xlfn.LET(_xlpm.Var_Bedrag,_xlfn.XLOOKUP($A14,Table_LuT_Deelnemers[ID Deelnemer],Table_LuT_Deelnemers[Kosten IO],"",0,1),IF(_xlpm.Var_Bedrag=0,"",_xlpm.Var_Bedrag))</f>
        <v/>
      </c>
      <c r="K14" s="277" t="str">
        <f ca="1">_xlfn.LET(_xlpm.Var_Bedrag,_xlfn.XLOOKUP($A14,Table_LuT_Deelnemers[ID Deelnemer],Table_LuT_Deelnemers[Kosten EO],"",0,1),IF(_xlpm.Var_Bedrag=0,"",_xlpm.Var_Bedrag))</f>
        <v/>
      </c>
      <c r="L14" s="277" t="str">
        <f ca="1">_xlfn.LET(_xlpm.Var_Bedrag,_xlfn.XLOOKUP($A14,Table_LuT_Deelnemers[ID Deelnemer],Table_LuT_Deelnemers[Kosten Apparatuur],"",0,1),IF(_xlpm.Var_Bedrag=0,"",_xlpm.Var_Bedrag))</f>
        <v/>
      </c>
      <c r="M14" s="277" t="str">
        <f ca="1">_xlfn.LET(_xlpm.Var_Bedrag,_xlfn.XLOOKUP($A14,Table_LuT_Deelnemers[ID Deelnemer],Table_LuT_Deelnemers[Cash Bijdrage],"",0,1),IF(_xlpm.Var_Bedrag=0,"",_xlpm.Var_Bedrag))</f>
        <v/>
      </c>
      <c r="N14" s="277" t="str">
        <f ca="1">_xlfn.LET(_xlpm.Var_Bedrag,_xlfn.XLOOKUP($A14,Table_LuT_Deelnemers[ID Deelnemer],Table_LuT_Deelnemers[Cash Ontvangen],"",0,1),IF(_xlpm.Var_Bedrag=0,"",_xlpm.Var_Bedrag))</f>
        <v/>
      </c>
      <c r="O14" s="277" t="str">
        <f ca="1">_xlfn.LET(_xlpm.Var_Bedrag,_xlfn.XLOOKUP($A14,Table_LuT_Deelnemers[ID Deelnemer],Table_LuT_Deelnemers[In-kind Bijdrage],"",0,1),IF(_xlpm.Var_Bedrag=0,"",_xlpm.Var_Bedrag))</f>
        <v/>
      </c>
      <c r="P14" s="277" t="str">
        <f ca="1">_xlfn.LET(_xlpm.Var_Bedrag,_xlfn.XLOOKUP($A14,Table_LuT_Deelnemers[ID Deelnemer],Table_LuT_Deelnemers[Overige Subsidies],"",0,1),IF(_xlpm.Var_Bedrag=0,"",_xlpm.Var_Bedrag))</f>
        <v/>
      </c>
      <c r="Q14" s="277" t="str">
        <f ca="1">_xlfn.LET(_xlpm.Var_Bedrag,_xlfn.XLOOKUP($A14,Table_LuT_Deelnemers[ID Deelnemer],Table_LuT_Deelnemers[Gevraagde Subsidie FO],"",0,1),IF(_xlpm.Var_Bedrag=0,"",_xlpm.Var_Bedrag))</f>
        <v/>
      </c>
      <c r="R14" s="277" t="str">
        <f ca="1">_xlfn.LET(_xlpm.Var_Bedrag,_xlfn.XLOOKUP($A14,Table_LuT_Deelnemers[ID Deelnemer],Table_LuT_Deelnemers[Gevraagde Subsidie IO],"",0,1),IF(_xlpm.Var_Bedrag=0,"",_xlpm.Var_Bedrag))</f>
        <v/>
      </c>
      <c r="S14" s="277" t="str">
        <f ca="1">_xlfn.LET(_xlpm.Var_Bedrag,_xlfn.XLOOKUP($A14,Table_LuT_Deelnemers[ID Deelnemer],Table_LuT_Deelnemers[Gevraagde Subsidie EO],"",0,1),IF(_xlpm.Var_Bedrag=0,"",_xlpm.Var_Bedrag))</f>
        <v/>
      </c>
    </row>
    <row r="15" spans="1:19" ht="15" customHeight="1" x14ac:dyDescent="0.25">
      <c r="A15" s="334" t="s">
        <v>192</v>
      </c>
      <c r="B15" s="336" t="str">
        <f>_xlfn.XLOOKUP($A15,Table_LuT_Deelnemers[ID Deelnemer],Table_LuT_Deelnemers[Naam Organisatie],"",0,1)</f>
        <v/>
      </c>
      <c r="C15" s="277" t="str">
        <f>IF(Table_Begrotingen_SF[[#This Row],[Deelnemer_opgegeven_in_Aanvraag__c]]="","",_xlfn.XLOOKUP($A15,Table_LuT_Deelnemers[ID Deelnemer],Table_LuT_Deelnemers[Is Buitenlandse Organisatie],"",0,1))</f>
        <v/>
      </c>
      <c r="D15" s="277" t="str">
        <f>IF(Table_Begrotingen_SF[[#This Row],[Deelnemer_opgegeven_in_Aanvraag__c]]="","",_xlfn.XLOOKUP($A15,Table_LuT_Deelnemers[ID Deelnemer],Table_LuT_Deelnemers[Land Organisatie '[indien buitenlands']],"",0,1))</f>
        <v/>
      </c>
      <c r="E15" s="277" t="str">
        <f>IF(Table_Begrotingen_SF[[#This Row],[Deelnemer_opgegeven_in_Aanvraag__c]]="","",_xlfn.XLOOKUP($A15,Table_LuT_Deelnemers[ID Deelnemer],Table_LuT_Deelnemers[KVK-nummer],"",0,1))</f>
        <v/>
      </c>
      <c r="F15" s="277" t="str">
        <f>IF(Table_Begrotingen_SF[[#This Row],[Deelnemer_opgegeven_in_Aanvraag__c]]="","",_xlfn.XLOOKUP($A15,Table_LuT_Deelnemers[ID Deelnemer],Table_LuT_Deelnemers[Website Organisatie],"",0,1))</f>
        <v/>
      </c>
      <c r="G15" s="277" t="str">
        <f>IF(Table_Begrotingen_SF[[#This Row],[Deelnemer_opgegeven_in_Aanvraag__c]]="","",_xlfn.XLOOKUP($A15,Table_LuT_Deelnemers[ID Deelnemer],Table_LuT_Deelnemers[Type Organisatie],"",0,1))</f>
        <v/>
      </c>
      <c r="H15" s="277" t="str">
        <f>IF(Table_Begrotingen_SF[[#This Row],[Deelnemer_opgegeven_in_Aanvraag__c]]="","",_xlfn.XLOOKUP($A15,Table_LuT_Deelnemers[ID Deelnemer],Table_LuT_Deelnemers[Vestiging in Nederland],"",0,1))</f>
        <v/>
      </c>
      <c r="I15" s="277" t="str">
        <f ca="1">_xlfn.LET(_xlpm.Var_Bedrag,_xlfn.XLOOKUP($A15,Table_LuT_Deelnemers[ID Deelnemer],Table_LuT_Deelnemers[Kosten FO],"",0,1),IF(_xlpm.Var_Bedrag=0,"",_xlpm.Var_Bedrag))</f>
        <v/>
      </c>
      <c r="J15" s="277" t="str">
        <f ca="1">_xlfn.LET(_xlpm.Var_Bedrag,_xlfn.XLOOKUP($A15,Table_LuT_Deelnemers[ID Deelnemer],Table_LuT_Deelnemers[Kosten IO],"",0,1),IF(_xlpm.Var_Bedrag=0,"",_xlpm.Var_Bedrag))</f>
        <v/>
      </c>
      <c r="K15" s="277" t="str">
        <f ca="1">_xlfn.LET(_xlpm.Var_Bedrag,_xlfn.XLOOKUP($A15,Table_LuT_Deelnemers[ID Deelnemer],Table_LuT_Deelnemers[Kosten EO],"",0,1),IF(_xlpm.Var_Bedrag=0,"",_xlpm.Var_Bedrag))</f>
        <v/>
      </c>
      <c r="L15" s="277" t="str">
        <f ca="1">_xlfn.LET(_xlpm.Var_Bedrag,_xlfn.XLOOKUP($A15,Table_LuT_Deelnemers[ID Deelnemer],Table_LuT_Deelnemers[Kosten Apparatuur],"",0,1),IF(_xlpm.Var_Bedrag=0,"",_xlpm.Var_Bedrag))</f>
        <v/>
      </c>
      <c r="M15" s="277" t="str">
        <f ca="1">_xlfn.LET(_xlpm.Var_Bedrag,_xlfn.XLOOKUP($A15,Table_LuT_Deelnemers[ID Deelnemer],Table_LuT_Deelnemers[Cash Bijdrage],"",0,1),IF(_xlpm.Var_Bedrag=0,"",_xlpm.Var_Bedrag))</f>
        <v/>
      </c>
      <c r="N15" s="277" t="str">
        <f ca="1">_xlfn.LET(_xlpm.Var_Bedrag,_xlfn.XLOOKUP($A15,Table_LuT_Deelnemers[ID Deelnemer],Table_LuT_Deelnemers[Cash Ontvangen],"",0,1),IF(_xlpm.Var_Bedrag=0,"",_xlpm.Var_Bedrag))</f>
        <v/>
      </c>
      <c r="O15" s="277" t="str">
        <f ca="1">_xlfn.LET(_xlpm.Var_Bedrag,_xlfn.XLOOKUP($A15,Table_LuT_Deelnemers[ID Deelnemer],Table_LuT_Deelnemers[In-kind Bijdrage],"",0,1),IF(_xlpm.Var_Bedrag=0,"",_xlpm.Var_Bedrag))</f>
        <v/>
      </c>
      <c r="P15" s="277" t="str">
        <f ca="1">_xlfn.LET(_xlpm.Var_Bedrag,_xlfn.XLOOKUP($A15,Table_LuT_Deelnemers[ID Deelnemer],Table_LuT_Deelnemers[Overige Subsidies],"",0,1),IF(_xlpm.Var_Bedrag=0,"",_xlpm.Var_Bedrag))</f>
        <v/>
      </c>
      <c r="Q15" s="277" t="str">
        <f ca="1">_xlfn.LET(_xlpm.Var_Bedrag,_xlfn.XLOOKUP($A15,Table_LuT_Deelnemers[ID Deelnemer],Table_LuT_Deelnemers[Gevraagde Subsidie FO],"",0,1),IF(_xlpm.Var_Bedrag=0,"",_xlpm.Var_Bedrag))</f>
        <v/>
      </c>
      <c r="R15" s="277" t="str">
        <f ca="1">_xlfn.LET(_xlpm.Var_Bedrag,_xlfn.XLOOKUP($A15,Table_LuT_Deelnemers[ID Deelnemer],Table_LuT_Deelnemers[Gevraagde Subsidie IO],"",0,1),IF(_xlpm.Var_Bedrag=0,"",_xlpm.Var_Bedrag))</f>
        <v/>
      </c>
      <c r="S15" s="277" t="str">
        <f ca="1">_xlfn.LET(_xlpm.Var_Bedrag,_xlfn.XLOOKUP($A15,Table_LuT_Deelnemers[ID Deelnemer],Table_LuT_Deelnemers[Gevraagde Subsidie EO],"",0,1),IF(_xlpm.Var_Bedrag=0,"",_xlpm.Var_Bedrag))</f>
        <v/>
      </c>
    </row>
    <row r="16" spans="1:19" ht="15" customHeight="1" x14ac:dyDescent="0.25">
      <c r="A16" s="333" t="s">
        <v>193</v>
      </c>
      <c r="B16" s="336" t="str">
        <f>_xlfn.XLOOKUP($A16,Table_LuT_Deelnemers[ID Deelnemer],Table_LuT_Deelnemers[Naam Organisatie],"",0,1)</f>
        <v/>
      </c>
      <c r="C16" s="277" t="str">
        <f>IF(Table_Begrotingen_SF[[#This Row],[Deelnemer_opgegeven_in_Aanvraag__c]]="","",_xlfn.XLOOKUP($A16,Table_LuT_Deelnemers[ID Deelnemer],Table_LuT_Deelnemers[Is Buitenlandse Organisatie],"",0,1))</f>
        <v/>
      </c>
      <c r="D16" s="277" t="str">
        <f>IF(Table_Begrotingen_SF[[#This Row],[Deelnemer_opgegeven_in_Aanvraag__c]]="","",_xlfn.XLOOKUP($A16,Table_LuT_Deelnemers[ID Deelnemer],Table_LuT_Deelnemers[Land Organisatie '[indien buitenlands']],"",0,1))</f>
        <v/>
      </c>
      <c r="E16" s="277" t="str">
        <f>IF(Table_Begrotingen_SF[[#This Row],[Deelnemer_opgegeven_in_Aanvraag__c]]="","",_xlfn.XLOOKUP($A16,Table_LuT_Deelnemers[ID Deelnemer],Table_LuT_Deelnemers[KVK-nummer],"",0,1))</f>
        <v/>
      </c>
      <c r="F16" s="277" t="str">
        <f>IF(Table_Begrotingen_SF[[#This Row],[Deelnemer_opgegeven_in_Aanvraag__c]]="","",_xlfn.XLOOKUP($A16,Table_LuT_Deelnemers[ID Deelnemer],Table_LuT_Deelnemers[Website Organisatie],"",0,1))</f>
        <v/>
      </c>
      <c r="G16" s="277" t="str">
        <f>IF(Table_Begrotingen_SF[[#This Row],[Deelnemer_opgegeven_in_Aanvraag__c]]="","",_xlfn.XLOOKUP($A16,Table_LuT_Deelnemers[ID Deelnemer],Table_LuT_Deelnemers[Type Organisatie],"",0,1))</f>
        <v/>
      </c>
      <c r="H16" s="277" t="str">
        <f>IF(Table_Begrotingen_SF[[#This Row],[Deelnemer_opgegeven_in_Aanvraag__c]]="","",_xlfn.XLOOKUP($A16,Table_LuT_Deelnemers[ID Deelnemer],Table_LuT_Deelnemers[Vestiging in Nederland],"",0,1))</f>
        <v/>
      </c>
      <c r="I16" s="277" t="str">
        <f ca="1">_xlfn.LET(_xlpm.Var_Bedrag,_xlfn.XLOOKUP($A16,Table_LuT_Deelnemers[ID Deelnemer],Table_LuT_Deelnemers[Kosten FO],"",0,1),IF(_xlpm.Var_Bedrag=0,"",_xlpm.Var_Bedrag))</f>
        <v/>
      </c>
      <c r="J16" s="277" t="str">
        <f ca="1">_xlfn.LET(_xlpm.Var_Bedrag,_xlfn.XLOOKUP($A16,Table_LuT_Deelnemers[ID Deelnemer],Table_LuT_Deelnemers[Kosten IO],"",0,1),IF(_xlpm.Var_Bedrag=0,"",_xlpm.Var_Bedrag))</f>
        <v/>
      </c>
      <c r="K16" s="277" t="str">
        <f ca="1">_xlfn.LET(_xlpm.Var_Bedrag,_xlfn.XLOOKUP($A16,Table_LuT_Deelnemers[ID Deelnemer],Table_LuT_Deelnemers[Kosten EO],"",0,1),IF(_xlpm.Var_Bedrag=0,"",_xlpm.Var_Bedrag))</f>
        <v/>
      </c>
      <c r="L16" s="277" t="str">
        <f ca="1">_xlfn.LET(_xlpm.Var_Bedrag,_xlfn.XLOOKUP($A16,Table_LuT_Deelnemers[ID Deelnemer],Table_LuT_Deelnemers[Kosten Apparatuur],"",0,1),IF(_xlpm.Var_Bedrag=0,"",_xlpm.Var_Bedrag))</f>
        <v/>
      </c>
      <c r="M16" s="277" t="str">
        <f ca="1">_xlfn.LET(_xlpm.Var_Bedrag,_xlfn.XLOOKUP($A16,Table_LuT_Deelnemers[ID Deelnemer],Table_LuT_Deelnemers[Cash Bijdrage],"",0,1),IF(_xlpm.Var_Bedrag=0,"",_xlpm.Var_Bedrag))</f>
        <v/>
      </c>
      <c r="N16" s="277" t="str">
        <f ca="1">_xlfn.LET(_xlpm.Var_Bedrag,_xlfn.XLOOKUP($A16,Table_LuT_Deelnemers[ID Deelnemer],Table_LuT_Deelnemers[Cash Ontvangen],"",0,1),IF(_xlpm.Var_Bedrag=0,"",_xlpm.Var_Bedrag))</f>
        <v/>
      </c>
      <c r="O16" s="277" t="str">
        <f ca="1">_xlfn.LET(_xlpm.Var_Bedrag,_xlfn.XLOOKUP($A16,Table_LuT_Deelnemers[ID Deelnemer],Table_LuT_Deelnemers[In-kind Bijdrage],"",0,1),IF(_xlpm.Var_Bedrag=0,"",_xlpm.Var_Bedrag))</f>
        <v/>
      </c>
      <c r="P16" s="277" t="str">
        <f ca="1">_xlfn.LET(_xlpm.Var_Bedrag,_xlfn.XLOOKUP($A16,Table_LuT_Deelnemers[ID Deelnemer],Table_LuT_Deelnemers[Overige Subsidies],"",0,1),IF(_xlpm.Var_Bedrag=0,"",_xlpm.Var_Bedrag))</f>
        <v/>
      </c>
      <c r="Q16" s="277" t="str">
        <f ca="1">_xlfn.LET(_xlpm.Var_Bedrag,_xlfn.XLOOKUP($A16,Table_LuT_Deelnemers[ID Deelnemer],Table_LuT_Deelnemers[Gevraagde Subsidie FO],"",0,1),IF(_xlpm.Var_Bedrag=0,"",_xlpm.Var_Bedrag))</f>
        <v/>
      </c>
      <c r="R16" s="277" t="str">
        <f ca="1">_xlfn.LET(_xlpm.Var_Bedrag,_xlfn.XLOOKUP($A16,Table_LuT_Deelnemers[ID Deelnemer],Table_LuT_Deelnemers[Gevraagde Subsidie IO],"",0,1),IF(_xlpm.Var_Bedrag=0,"",_xlpm.Var_Bedrag))</f>
        <v/>
      </c>
      <c r="S16" s="277" t="str">
        <f ca="1">_xlfn.LET(_xlpm.Var_Bedrag,_xlfn.XLOOKUP($A16,Table_LuT_Deelnemers[ID Deelnemer],Table_LuT_Deelnemers[Gevraagde Subsidie EO],"",0,1),IF(_xlpm.Var_Bedrag=0,"",_xlpm.Var_Bedrag))</f>
        <v/>
      </c>
    </row>
    <row r="17" spans="1:19" ht="15" customHeight="1" x14ac:dyDescent="0.25">
      <c r="A17" s="334" t="s">
        <v>194</v>
      </c>
      <c r="B17" s="336" t="str">
        <f>_xlfn.XLOOKUP($A17,Table_LuT_Deelnemers[ID Deelnemer],Table_LuT_Deelnemers[Naam Organisatie],"",0,1)</f>
        <v/>
      </c>
      <c r="C17" s="277" t="str">
        <f>IF(Table_Begrotingen_SF[[#This Row],[Deelnemer_opgegeven_in_Aanvraag__c]]="","",_xlfn.XLOOKUP($A17,Table_LuT_Deelnemers[ID Deelnemer],Table_LuT_Deelnemers[Is Buitenlandse Organisatie],"",0,1))</f>
        <v/>
      </c>
      <c r="D17" s="277" t="str">
        <f>IF(Table_Begrotingen_SF[[#This Row],[Deelnemer_opgegeven_in_Aanvraag__c]]="","",_xlfn.XLOOKUP($A17,Table_LuT_Deelnemers[ID Deelnemer],Table_LuT_Deelnemers[Land Organisatie '[indien buitenlands']],"",0,1))</f>
        <v/>
      </c>
      <c r="E17" s="277" t="str">
        <f>IF(Table_Begrotingen_SF[[#This Row],[Deelnemer_opgegeven_in_Aanvraag__c]]="","",_xlfn.XLOOKUP($A17,Table_LuT_Deelnemers[ID Deelnemer],Table_LuT_Deelnemers[KVK-nummer],"",0,1))</f>
        <v/>
      </c>
      <c r="F17" s="277" t="str">
        <f>IF(Table_Begrotingen_SF[[#This Row],[Deelnemer_opgegeven_in_Aanvraag__c]]="","",_xlfn.XLOOKUP($A17,Table_LuT_Deelnemers[ID Deelnemer],Table_LuT_Deelnemers[Website Organisatie],"",0,1))</f>
        <v/>
      </c>
      <c r="G17" s="277" t="str">
        <f>IF(Table_Begrotingen_SF[[#This Row],[Deelnemer_opgegeven_in_Aanvraag__c]]="","",_xlfn.XLOOKUP($A17,Table_LuT_Deelnemers[ID Deelnemer],Table_LuT_Deelnemers[Type Organisatie],"",0,1))</f>
        <v/>
      </c>
      <c r="H17" s="277" t="str">
        <f>IF(Table_Begrotingen_SF[[#This Row],[Deelnemer_opgegeven_in_Aanvraag__c]]="","",_xlfn.XLOOKUP($A17,Table_LuT_Deelnemers[ID Deelnemer],Table_LuT_Deelnemers[Vestiging in Nederland],"",0,1))</f>
        <v/>
      </c>
      <c r="I17" s="277" t="str">
        <f ca="1">_xlfn.LET(_xlpm.Var_Bedrag,_xlfn.XLOOKUP($A17,Table_LuT_Deelnemers[ID Deelnemer],Table_LuT_Deelnemers[Kosten FO],"",0,1),IF(_xlpm.Var_Bedrag=0,"",_xlpm.Var_Bedrag))</f>
        <v/>
      </c>
      <c r="J17" s="277" t="str">
        <f ca="1">_xlfn.LET(_xlpm.Var_Bedrag,_xlfn.XLOOKUP($A17,Table_LuT_Deelnemers[ID Deelnemer],Table_LuT_Deelnemers[Kosten IO],"",0,1),IF(_xlpm.Var_Bedrag=0,"",_xlpm.Var_Bedrag))</f>
        <v/>
      </c>
      <c r="K17" s="277" t="str">
        <f ca="1">_xlfn.LET(_xlpm.Var_Bedrag,_xlfn.XLOOKUP($A17,Table_LuT_Deelnemers[ID Deelnemer],Table_LuT_Deelnemers[Kosten EO],"",0,1),IF(_xlpm.Var_Bedrag=0,"",_xlpm.Var_Bedrag))</f>
        <v/>
      </c>
      <c r="L17" s="277" t="str">
        <f ca="1">_xlfn.LET(_xlpm.Var_Bedrag,_xlfn.XLOOKUP($A17,Table_LuT_Deelnemers[ID Deelnemer],Table_LuT_Deelnemers[Kosten Apparatuur],"",0,1),IF(_xlpm.Var_Bedrag=0,"",_xlpm.Var_Bedrag))</f>
        <v/>
      </c>
      <c r="M17" s="277" t="str">
        <f ca="1">_xlfn.LET(_xlpm.Var_Bedrag,_xlfn.XLOOKUP($A17,Table_LuT_Deelnemers[ID Deelnemer],Table_LuT_Deelnemers[Cash Bijdrage],"",0,1),IF(_xlpm.Var_Bedrag=0,"",_xlpm.Var_Bedrag))</f>
        <v/>
      </c>
      <c r="N17" s="277" t="str">
        <f ca="1">_xlfn.LET(_xlpm.Var_Bedrag,_xlfn.XLOOKUP($A17,Table_LuT_Deelnemers[ID Deelnemer],Table_LuT_Deelnemers[Cash Ontvangen],"",0,1),IF(_xlpm.Var_Bedrag=0,"",_xlpm.Var_Bedrag))</f>
        <v/>
      </c>
      <c r="O17" s="277" t="str">
        <f ca="1">_xlfn.LET(_xlpm.Var_Bedrag,_xlfn.XLOOKUP($A17,Table_LuT_Deelnemers[ID Deelnemer],Table_LuT_Deelnemers[In-kind Bijdrage],"",0,1),IF(_xlpm.Var_Bedrag=0,"",_xlpm.Var_Bedrag))</f>
        <v/>
      </c>
      <c r="P17" s="277" t="str">
        <f ca="1">_xlfn.LET(_xlpm.Var_Bedrag,_xlfn.XLOOKUP($A17,Table_LuT_Deelnemers[ID Deelnemer],Table_LuT_Deelnemers[Overige Subsidies],"",0,1),IF(_xlpm.Var_Bedrag=0,"",_xlpm.Var_Bedrag))</f>
        <v/>
      </c>
      <c r="Q17" s="277" t="str">
        <f ca="1">_xlfn.LET(_xlpm.Var_Bedrag,_xlfn.XLOOKUP($A17,Table_LuT_Deelnemers[ID Deelnemer],Table_LuT_Deelnemers[Gevraagde Subsidie FO],"",0,1),IF(_xlpm.Var_Bedrag=0,"",_xlpm.Var_Bedrag))</f>
        <v/>
      </c>
      <c r="R17" s="277" t="str">
        <f ca="1">_xlfn.LET(_xlpm.Var_Bedrag,_xlfn.XLOOKUP($A17,Table_LuT_Deelnemers[ID Deelnemer],Table_LuT_Deelnemers[Gevraagde Subsidie IO],"",0,1),IF(_xlpm.Var_Bedrag=0,"",_xlpm.Var_Bedrag))</f>
        <v/>
      </c>
      <c r="S17" s="277" t="str">
        <f ca="1">_xlfn.LET(_xlpm.Var_Bedrag,_xlfn.XLOOKUP($A17,Table_LuT_Deelnemers[ID Deelnemer],Table_LuT_Deelnemers[Gevraagde Subsidie EO],"",0,1),IF(_xlpm.Var_Bedrag=0,"",_xlpm.Var_Bedrag))</f>
        <v/>
      </c>
    </row>
    <row r="18" spans="1:19" ht="15" customHeight="1" x14ac:dyDescent="0.25">
      <c r="A18" s="333" t="s">
        <v>195</v>
      </c>
      <c r="B18" s="336" t="str">
        <f>_xlfn.XLOOKUP($A18,Table_LuT_Deelnemers[ID Deelnemer],Table_LuT_Deelnemers[Naam Organisatie],"",0,1)</f>
        <v/>
      </c>
      <c r="C18" s="277" t="str">
        <f>IF(Table_Begrotingen_SF[[#This Row],[Deelnemer_opgegeven_in_Aanvraag__c]]="","",_xlfn.XLOOKUP($A18,Table_LuT_Deelnemers[ID Deelnemer],Table_LuT_Deelnemers[Is Buitenlandse Organisatie],"",0,1))</f>
        <v/>
      </c>
      <c r="D18" s="277" t="str">
        <f>IF(Table_Begrotingen_SF[[#This Row],[Deelnemer_opgegeven_in_Aanvraag__c]]="","",_xlfn.XLOOKUP($A18,Table_LuT_Deelnemers[ID Deelnemer],Table_LuT_Deelnemers[Land Organisatie '[indien buitenlands']],"",0,1))</f>
        <v/>
      </c>
      <c r="E18" s="277" t="str">
        <f>IF(Table_Begrotingen_SF[[#This Row],[Deelnemer_opgegeven_in_Aanvraag__c]]="","",_xlfn.XLOOKUP($A18,Table_LuT_Deelnemers[ID Deelnemer],Table_LuT_Deelnemers[KVK-nummer],"",0,1))</f>
        <v/>
      </c>
      <c r="F18" s="277" t="str">
        <f>IF(Table_Begrotingen_SF[[#This Row],[Deelnemer_opgegeven_in_Aanvraag__c]]="","",_xlfn.XLOOKUP($A18,Table_LuT_Deelnemers[ID Deelnemer],Table_LuT_Deelnemers[Website Organisatie],"",0,1))</f>
        <v/>
      </c>
      <c r="G18" s="277" t="str">
        <f>IF(Table_Begrotingen_SF[[#This Row],[Deelnemer_opgegeven_in_Aanvraag__c]]="","",_xlfn.XLOOKUP($A18,Table_LuT_Deelnemers[ID Deelnemer],Table_LuT_Deelnemers[Type Organisatie],"",0,1))</f>
        <v/>
      </c>
      <c r="H18" s="277" t="str">
        <f>IF(Table_Begrotingen_SF[[#This Row],[Deelnemer_opgegeven_in_Aanvraag__c]]="","",_xlfn.XLOOKUP($A18,Table_LuT_Deelnemers[ID Deelnemer],Table_LuT_Deelnemers[Vestiging in Nederland],"",0,1))</f>
        <v/>
      </c>
      <c r="I18" s="277" t="str">
        <f ca="1">_xlfn.LET(_xlpm.Var_Bedrag,_xlfn.XLOOKUP($A18,Table_LuT_Deelnemers[ID Deelnemer],Table_LuT_Deelnemers[Kosten FO],"",0,1),IF(_xlpm.Var_Bedrag=0,"",_xlpm.Var_Bedrag))</f>
        <v/>
      </c>
      <c r="J18" s="277" t="str">
        <f ca="1">_xlfn.LET(_xlpm.Var_Bedrag,_xlfn.XLOOKUP($A18,Table_LuT_Deelnemers[ID Deelnemer],Table_LuT_Deelnemers[Kosten IO],"",0,1),IF(_xlpm.Var_Bedrag=0,"",_xlpm.Var_Bedrag))</f>
        <v/>
      </c>
      <c r="K18" s="277" t="str">
        <f ca="1">_xlfn.LET(_xlpm.Var_Bedrag,_xlfn.XLOOKUP($A18,Table_LuT_Deelnemers[ID Deelnemer],Table_LuT_Deelnemers[Kosten EO],"",0,1),IF(_xlpm.Var_Bedrag=0,"",_xlpm.Var_Bedrag))</f>
        <v/>
      </c>
      <c r="L18" s="277" t="str">
        <f ca="1">_xlfn.LET(_xlpm.Var_Bedrag,_xlfn.XLOOKUP($A18,Table_LuT_Deelnemers[ID Deelnemer],Table_LuT_Deelnemers[Kosten Apparatuur],"",0,1),IF(_xlpm.Var_Bedrag=0,"",_xlpm.Var_Bedrag))</f>
        <v/>
      </c>
      <c r="M18" s="277" t="str">
        <f ca="1">_xlfn.LET(_xlpm.Var_Bedrag,_xlfn.XLOOKUP($A18,Table_LuT_Deelnemers[ID Deelnemer],Table_LuT_Deelnemers[Cash Bijdrage],"",0,1),IF(_xlpm.Var_Bedrag=0,"",_xlpm.Var_Bedrag))</f>
        <v/>
      </c>
      <c r="N18" s="277" t="str">
        <f ca="1">_xlfn.LET(_xlpm.Var_Bedrag,_xlfn.XLOOKUP($A18,Table_LuT_Deelnemers[ID Deelnemer],Table_LuT_Deelnemers[Cash Ontvangen],"",0,1),IF(_xlpm.Var_Bedrag=0,"",_xlpm.Var_Bedrag))</f>
        <v/>
      </c>
      <c r="O18" s="277" t="str">
        <f ca="1">_xlfn.LET(_xlpm.Var_Bedrag,_xlfn.XLOOKUP($A18,Table_LuT_Deelnemers[ID Deelnemer],Table_LuT_Deelnemers[In-kind Bijdrage],"",0,1),IF(_xlpm.Var_Bedrag=0,"",_xlpm.Var_Bedrag))</f>
        <v/>
      </c>
      <c r="P18" s="277" t="str">
        <f ca="1">_xlfn.LET(_xlpm.Var_Bedrag,_xlfn.XLOOKUP($A18,Table_LuT_Deelnemers[ID Deelnemer],Table_LuT_Deelnemers[Overige Subsidies],"",0,1),IF(_xlpm.Var_Bedrag=0,"",_xlpm.Var_Bedrag))</f>
        <v/>
      </c>
      <c r="Q18" s="277" t="str">
        <f ca="1">_xlfn.LET(_xlpm.Var_Bedrag,_xlfn.XLOOKUP($A18,Table_LuT_Deelnemers[ID Deelnemer],Table_LuT_Deelnemers[Gevraagde Subsidie FO],"",0,1),IF(_xlpm.Var_Bedrag=0,"",_xlpm.Var_Bedrag))</f>
        <v/>
      </c>
      <c r="R18" s="277" t="str">
        <f ca="1">_xlfn.LET(_xlpm.Var_Bedrag,_xlfn.XLOOKUP($A18,Table_LuT_Deelnemers[ID Deelnemer],Table_LuT_Deelnemers[Gevraagde Subsidie IO],"",0,1),IF(_xlpm.Var_Bedrag=0,"",_xlpm.Var_Bedrag))</f>
        <v/>
      </c>
      <c r="S18" s="277" t="str">
        <f ca="1">_xlfn.LET(_xlpm.Var_Bedrag,_xlfn.XLOOKUP($A18,Table_LuT_Deelnemers[ID Deelnemer],Table_LuT_Deelnemers[Gevraagde Subsidie EO],"",0,1),IF(_xlpm.Var_Bedrag=0,"",_xlpm.Var_Bedrag))</f>
        <v/>
      </c>
    </row>
    <row r="19" spans="1:19" ht="15" customHeight="1" x14ac:dyDescent="0.25">
      <c r="A19" s="334" t="s">
        <v>196</v>
      </c>
      <c r="B19" s="336" t="str">
        <f>_xlfn.XLOOKUP($A19,Table_LuT_Deelnemers[ID Deelnemer],Table_LuT_Deelnemers[Naam Organisatie],"",0,1)</f>
        <v/>
      </c>
      <c r="C19" s="277" t="str">
        <f>IF(Table_Begrotingen_SF[[#This Row],[Deelnemer_opgegeven_in_Aanvraag__c]]="","",_xlfn.XLOOKUP($A19,Table_LuT_Deelnemers[ID Deelnemer],Table_LuT_Deelnemers[Is Buitenlandse Organisatie],"",0,1))</f>
        <v/>
      </c>
      <c r="D19" s="277" t="str">
        <f>IF(Table_Begrotingen_SF[[#This Row],[Deelnemer_opgegeven_in_Aanvraag__c]]="","",_xlfn.XLOOKUP($A19,Table_LuT_Deelnemers[ID Deelnemer],Table_LuT_Deelnemers[Land Organisatie '[indien buitenlands']],"",0,1))</f>
        <v/>
      </c>
      <c r="E19" s="277" t="str">
        <f>IF(Table_Begrotingen_SF[[#This Row],[Deelnemer_opgegeven_in_Aanvraag__c]]="","",_xlfn.XLOOKUP($A19,Table_LuT_Deelnemers[ID Deelnemer],Table_LuT_Deelnemers[KVK-nummer],"",0,1))</f>
        <v/>
      </c>
      <c r="F19" s="277" t="str">
        <f>IF(Table_Begrotingen_SF[[#This Row],[Deelnemer_opgegeven_in_Aanvraag__c]]="","",_xlfn.XLOOKUP($A19,Table_LuT_Deelnemers[ID Deelnemer],Table_LuT_Deelnemers[Website Organisatie],"",0,1))</f>
        <v/>
      </c>
      <c r="G19" s="277" t="str">
        <f>IF(Table_Begrotingen_SF[[#This Row],[Deelnemer_opgegeven_in_Aanvraag__c]]="","",_xlfn.XLOOKUP($A19,Table_LuT_Deelnemers[ID Deelnemer],Table_LuT_Deelnemers[Type Organisatie],"",0,1))</f>
        <v/>
      </c>
      <c r="H19" s="277" t="str">
        <f>IF(Table_Begrotingen_SF[[#This Row],[Deelnemer_opgegeven_in_Aanvraag__c]]="","",_xlfn.XLOOKUP($A19,Table_LuT_Deelnemers[ID Deelnemer],Table_LuT_Deelnemers[Vestiging in Nederland],"",0,1))</f>
        <v/>
      </c>
      <c r="I19" s="277" t="str">
        <f ca="1">_xlfn.LET(_xlpm.Var_Bedrag,_xlfn.XLOOKUP($A19,Table_LuT_Deelnemers[ID Deelnemer],Table_LuT_Deelnemers[Kosten FO],"",0,1),IF(_xlpm.Var_Bedrag=0,"",_xlpm.Var_Bedrag))</f>
        <v/>
      </c>
      <c r="J19" s="277" t="str">
        <f ca="1">_xlfn.LET(_xlpm.Var_Bedrag,_xlfn.XLOOKUP($A19,Table_LuT_Deelnemers[ID Deelnemer],Table_LuT_Deelnemers[Kosten IO],"",0,1),IF(_xlpm.Var_Bedrag=0,"",_xlpm.Var_Bedrag))</f>
        <v/>
      </c>
      <c r="K19" s="277" t="str">
        <f ca="1">_xlfn.LET(_xlpm.Var_Bedrag,_xlfn.XLOOKUP($A19,Table_LuT_Deelnemers[ID Deelnemer],Table_LuT_Deelnemers[Kosten EO],"",0,1),IF(_xlpm.Var_Bedrag=0,"",_xlpm.Var_Bedrag))</f>
        <v/>
      </c>
      <c r="L19" s="277" t="str">
        <f ca="1">_xlfn.LET(_xlpm.Var_Bedrag,_xlfn.XLOOKUP($A19,Table_LuT_Deelnemers[ID Deelnemer],Table_LuT_Deelnemers[Kosten Apparatuur],"",0,1),IF(_xlpm.Var_Bedrag=0,"",_xlpm.Var_Bedrag))</f>
        <v/>
      </c>
      <c r="M19" s="277" t="str">
        <f ca="1">_xlfn.LET(_xlpm.Var_Bedrag,_xlfn.XLOOKUP($A19,Table_LuT_Deelnemers[ID Deelnemer],Table_LuT_Deelnemers[Cash Bijdrage],"",0,1),IF(_xlpm.Var_Bedrag=0,"",_xlpm.Var_Bedrag))</f>
        <v/>
      </c>
      <c r="N19" s="277" t="str">
        <f ca="1">_xlfn.LET(_xlpm.Var_Bedrag,_xlfn.XLOOKUP($A19,Table_LuT_Deelnemers[ID Deelnemer],Table_LuT_Deelnemers[Cash Ontvangen],"",0,1),IF(_xlpm.Var_Bedrag=0,"",_xlpm.Var_Bedrag))</f>
        <v/>
      </c>
      <c r="O19" s="277" t="str">
        <f ca="1">_xlfn.LET(_xlpm.Var_Bedrag,_xlfn.XLOOKUP($A19,Table_LuT_Deelnemers[ID Deelnemer],Table_LuT_Deelnemers[In-kind Bijdrage],"",0,1),IF(_xlpm.Var_Bedrag=0,"",_xlpm.Var_Bedrag))</f>
        <v/>
      </c>
      <c r="P19" s="277" t="str">
        <f ca="1">_xlfn.LET(_xlpm.Var_Bedrag,_xlfn.XLOOKUP($A19,Table_LuT_Deelnemers[ID Deelnemer],Table_LuT_Deelnemers[Overige Subsidies],"",0,1),IF(_xlpm.Var_Bedrag=0,"",_xlpm.Var_Bedrag))</f>
        <v/>
      </c>
      <c r="Q19" s="277" t="str">
        <f ca="1">_xlfn.LET(_xlpm.Var_Bedrag,_xlfn.XLOOKUP($A19,Table_LuT_Deelnemers[ID Deelnemer],Table_LuT_Deelnemers[Gevraagde Subsidie FO],"",0,1),IF(_xlpm.Var_Bedrag=0,"",_xlpm.Var_Bedrag))</f>
        <v/>
      </c>
      <c r="R19" s="277" t="str">
        <f ca="1">_xlfn.LET(_xlpm.Var_Bedrag,_xlfn.XLOOKUP($A19,Table_LuT_Deelnemers[ID Deelnemer],Table_LuT_Deelnemers[Gevraagde Subsidie IO],"",0,1),IF(_xlpm.Var_Bedrag=0,"",_xlpm.Var_Bedrag))</f>
        <v/>
      </c>
      <c r="S19" s="277" t="str">
        <f ca="1">_xlfn.LET(_xlpm.Var_Bedrag,_xlfn.XLOOKUP($A19,Table_LuT_Deelnemers[ID Deelnemer],Table_LuT_Deelnemers[Gevraagde Subsidie EO],"",0,1),IF(_xlpm.Var_Bedrag=0,"",_xlpm.Var_Bedrag))</f>
        <v/>
      </c>
    </row>
    <row r="20" spans="1:19" ht="15" customHeight="1" x14ac:dyDescent="0.25">
      <c r="A20" s="333" t="s">
        <v>197</v>
      </c>
      <c r="B20" s="336" t="str">
        <f>_xlfn.XLOOKUP($A20,Table_LuT_Deelnemers[ID Deelnemer],Table_LuT_Deelnemers[Naam Organisatie],"",0,1)</f>
        <v/>
      </c>
      <c r="C20" s="277" t="str">
        <f>IF(Table_Begrotingen_SF[[#This Row],[Deelnemer_opgegeven_in_Aanvraag__c]]="","",_xlfn.XLOOKUP($A20,Table_LuT_Deelnemers[ID Deelnemer],Table_LuT_Deelnemers[Is Buitenlandse Organisatie],"",0,1))</f>
        <v/>
      </c>
      <c r="D20" s="277" t="str">
        <f>IF(Table_Begrotingen_SF[[#This Row],[Deelnemer_opgegeven_in_Aanvraag__c]]="","",_xlfn.XLOOKUP($A20,Table_LuT_Deelnemers[ID Deelnemer],Table_LuT_Deelnemers[Land Organisatie '[indien buitenlands']],"",0,1))</f>
        <v/>
      </c>
      <c r="E20" s="277" t="str">
        <f>IF(Table_Begrotingen_SF[[#This Row],[Deelnemer_opgegeven_in_Aanvraag__c]]="","",_xlfn.XLOOKUP($A20,Table_LuT_Deelnemers[ID Deelnemer],Table_LuT_Deelnemers[KVK-nummer],"",0,1))</f>
        <v/>
      </c>
      <c r="F20" s="277" t="str">
        <f>IF(Table_Begrotingen_SF[[#This Row],[Deelnemer_opgegeven_in_Aanvraag__c]]="","",_xlfn.XLOOKUP($A20,Table_LuT_Deelnemers[ID Deelnemer],Table_LuT_Deelnemers[Website Organisatie],"",0,1))</f>
        <v/>
      </c>
      <c r="G20" s="277" t="str">
        <f>IF(Table_Begrotingen_SF[[#This Row],[Deelnemer_opgegeven_in_Aanvraag__c]]="","",_xlfn.XLOOKUP($A20,Table_LuT_Deelnemers[ID Deelnemer],Table_LuT_Deelnemers[Type Organisatie],"",0,1))</f>
        <v/>
      </c>
      <c r="H20" s="277" t="str">
        <f>IF(Table_Begrotingen_SF[[#This Row],[Deelnemer_opgegeven_in_Aanvraag__c]]="","",_xlfn.XLOOKUP($A20,Table_LuT_Deelnemers[ID Deelnemer],Table_LuT_Deelnemers[Vestiging in Nederland],"",0,1))</f>
        <v/>
      </c>
      <c r="I20" s="277" t="str">
        <f ca="1">_xlfn.LET(_xlpm.Var_Bedrag,_xlfn.XLOOKUP($A20,Table_LuT_Deelnemers[ID Deelnemer],Table_LuT_Deelnemers[Kosten FO],"",0,1),IF(_xlpm.Var_Bedrag=0,"",_xlpm.Var_Bedrag))</f>
        <v/>
      </c>
      <c r="J20" s="277" t="str">
        <f ca="1">_xlfn.LET(_xlpm.Var_Bedrag,_xlfn.XLOOKUP($A20,Table_LuT_Deelnemers[ID Deelnemer],Table_LuT_Deelnemers[Kosten IO],"",0,1),IF(_xlpm.Var_Bedrag=0,"",_xlpm.Var_Bedrag))</f>
        <v/>
      </c>
      <c r="K20" s="277" t="str">
        <f ca="1">_xlfn.LET(_xlpm.Var_Bedrag,_xlfn.XLOOKUP($A20,Table_LuT_Deelnemers[ID Deelnemer],Table_LuT_Deelnemers[Kosten EO],"",0,1),IF(_xlpm.Var_Bedrag=0,"",_xlpm.Var_Bedrag))</f>
        <v/>
      </c>
      <c r="L20" s="277" t="str">
        <f ca="1">_xlfn.LET(_xlpm.Var_Bedrag,_xlfn.XLOOKUP($A20,Table_LuT_Deelnemers[ID Deelnemer],Table_LuT_Deelnemers[Kosten Apparatuur],"",0,1),IF(_xlpm.Var_Bedrag=0,"",_xlpm.Var_Bedrag))</f>
        <v/>
      </c>
      <c r="M20" s="277" t="str">
        <f ca="1">_xlfn.LET(_xlpm.Var_Bedrag,_xlfn.XLOOKUP($A20,Table_LuT_Deelnemers[ID Deelnemer],Table_LuT_Deelnemers[Cash Bijdrage],"",0,1),IF(_xlpm.Var_Bedrag=0,"",_xlpm.Var_Bedrag))</f>
        <v/>
      </c>
      <c r="N20" s="277" t="str">
        <f ca="1">_xlfn.LET(_xlpm.Var_Bedrag,_xlfn.XLOOKUP($A20,Table_LuT_Deelnemers[ID Deelnemer],Table_LuT_Deelnemers[Cash Ontvangen],"",0,1),IF(_xlpm.Var_Bedrag=0,"",_xlpm.Var_Bedrag))</f>
        <v/>
      </c>
      <c r="O20" s="277" t="str">
        <f ca="1">_xlfn.LET(_xlpm.Var_Bedrag,_xlfn.XLOOKUP($A20,Table_LuT_Deelnemers[ID Deelnemer],Table_LuT_Deelnemers[In-kind Bijdrage],"",0,1),IF(_xlpm.Var_Bedrag=0,"",_xlpm.Var_Bedrag))</f>
        <v/>
      </c>
      <c r="P20" s="277" t="str">
        <f ca="1">_xlfn.LET(_xlpm.Var_Bedrag,_xlfn.XLOOKUP($A20,Table_LuT_Deelnemers[ID Deelnemer],Table_LuT_Deelnemers[Overige Subsidies],"",0,1),IF(_xlpm.Var_Bedrag=0,"",_xlpm.Var_Bedrag))</f>
        <v/>
      </c>
      <c r="Q20" s="277" t="str">
        <f ca="1">_xlfn.LET(_xlpm.Var_Bedrag,_xlfn.XLOOKUP($A20,Table_LuT_Deelnemers[ID Deelnemer],Table_LuT_Deelnemers[Gevraagde Subsidie FO],"",0,1),IF(_xlpm.Var_Bedrag=0,"",_xlpm.Var_Bedrag))</f>
        <v/>
      </c>
      <c r="R20" s="277" t="str">
        <f ca="1">_xlfn.LET(_xlpm.Var_Bedrag,_xlfn.XLOOKUP($A20,Table_LuT_Deelnemers[ID Deelnemer],Table_LuT_Deelnemers[Gevraagde Subsidie IO],"",0,1),IF(_xlpm.Var_Bedrag=0,"",_xlpm.Var_Bedrag))</f>
        <v/>
      </c>
      <c r="S20" s="277" t="str">
        <f ca="1">_xlfn.LET(_xlpm.Var_Bedrag,_xlfn.XLOOKUP($A20,Table_LuT_Deelnemers[ID Deelnemer],Table_LuT_Deelnemers[Gevraagde Subsidie EO],"",0,1),IF(_xlpm.Var_Bedrag=0,"",_xlpm.Var_Bedrag))</f>
        <v/>
      </c>
    </row>
    <row r="21" spans="1:19" ht="15" customHeight="1" x14ac:dyDescent="0.25">
      <c r="A21" s="334" t="s">
        <v>198</v>
      </c>
      <c r="B21" s="336" t="str">
        <f>_xlfn.XLOOKUP($A21,Table_LuT_Deelnemers[ID Deelnemer],Table_LuT_Deelnemers[Naam Organisatie],"",0,1)</f>
        <v/>
      </c>
      <c r="C21" s="277" t="str">
        <f>IF(Table_Begrotingen_SF[[#This Row],[Deelnemer_opgegeven_in_Aanvraag__c]]="","",_xlfn.XLOOKUP($A21,Table_LuT_Deelnemers[ID Deelnemer],Table_LuT_Deelnemers[Is Buitenlandse Organisatie],"",0,1))</f>
        <v/>
      </c>
      <c r="D21" s="277" t="str">
        <f>IF(Table_Begrotingen_SF[[#This Row],[Deelnemer_opgegeven_in_Aanvraag__c]]="","",_xlfn.XLOOKUP($A21,Table_LuT_Deelnemers[ID Deelnemer],Table_LuT_Deelnemers[Land Organisatie '[indien buitenlands']],"",0,1))</f>
        <v/>
      </c>
      <c r="E21" s="277" t="str">
        <f>IF(Table_Begrotingen_SF[[#This Row],[Deelnemer_opgegeven_in_Aanvraag__c]]="","",_xlfn.XLOOKUP($A21,Table_LuT_Deelnemers[ID Deelnemer],Table_LuT_Deelnemers[KVK-nummer],"",0,1))</f>
        <v/>
      </c>
      <c r="F21" s="277" t="str">
        <f>IF(Table_Begrotingen_SF[[#This Row],[Deelnemer_opgegeven_in_Aanvraag__c]]="","",_xlfn.XLOOKUP($A21,Table_LuT_Deelnemers[ID Deelnemer],Table_LuT_Deelnemers[Website Organisatie],"",0,1))</f>
        <v/>
      </c>
      <c r="G21" s="277" t="str">
        <f>IF(Table_Begrotingen_SF[[#This Row],[Deelnemer_opgegeven_in_Aanvraag__c]]="","",_xlfn.XLOOKUP($A21,Table_LuT_Deelnemers[ID Deelnemer],Table_LuT_Deelnemers[Type Organisatie],"",0,1))</f>
        <v/>
      </c>
      <c r="H21" s="277" t="str">
        <f>IF(Table_Begrotingen_SF[[#This Row],[Deelnemer_opgegeven_in_Aanvraag__c]]="","",_xlfn.XLOOKUP($A21,Table_LuT_Deelnemers[ID Deelnemer],Table_LuT_Deelnemers[Vestiging in Nederland],"",0,1))</f>
        <v/>
      </c>
      <c r="I21" s="277" t="str">
        <f ca="1">_xlfn.LET(_xlpm.Var_Bedrag,_xlfn.XLOOKUP($A21,Table_LuT_Deelnemers[ID Deelnemer],Table_LuT_Deelnemers[Kosten FO],"",0,1),IF(_xlpm.Var_Bedrag=0,"",_xlpm.Var_Bedrag))</f>
        <v/>
      </c>
      <c r="J21" s="277" t="str">
        <f ca="1">_xlfn.LET(_xlpm.Var_Bedrag,_xlfn.XLOOKUP($A21,Table_LuT_Deelnemers[ID Deelnemer],Table_LuT_Deelnemers[Kosten IO],"",0,1),IF(_xlpm.Var_Bedrag=0,"",_xlpm.Var_Bedrag))</f>
        <v/>
      </c>
      <c r="K21" s="277" t="str">
        <f ca="1">_xlfn.LET(_xlpm.Var_Bedrag,_xlfn.XLOOKUP($A21,Table_LuT_Deelnemers[ID Deelnemer],Table_LuT_Deelnemers[Kosten EO],"",0,1),IF(_xlpm.Var_Bedrag=0,"",_xlpm.Var_Bedrag))</f>
        <v/>
      </c>
      <c r="L21" s="277" t="str">
        <f ca="1">_xlfn.LET(_xlpm.Var_Bedrag,_xlfn.XLOOKUP($A21,Table_LuT_Deelnemers[ID Deelnemer],Table_LuT_Deelnemers[Kosten Apparatuur],"",0,1),IF(_xlpm.Var_Bedrag=0,"",_xlpm.Var_Bedrag))</f>
        <v/>
      </c>
      <c r="M21" s="277" t="str">
        <f ca="1">_xlfn.LET(_xlpm.Var_Bedrag,_xlfn.XLOOKUP($A21,Table_LuT_Deelnemers[ID Deelnemer],Table_LuT_Deelnemers[Cash Bijdrage],"",0,1),IF(_xlpm.Var_Bedrag=0,"",_xlpm.Var_Bedrag))</f>
        <v/>
      </c>
      <c r="N21" s="277" t="str">
        <f ca="1">_xlfn.LET(_xlpm.Var_Bedrag,_xlfn.XLOOKUP($A21,Table_LuT_Deelnemers[ID Deelnemer],Table_LuT_Deelnemers[Cash Ontvangen],"",0,1),IF(_xlpm.Var_Bedrag=0,"",_xlpm.Var_Bedrag))</f>
        <v/>
      </c>
      <c r="O21" s="277" t="str">
        <f ca="1">_xlfn.LET(_xlpm.Var_Bedrag,_xlfn.XLOOKUP($A21,Table_LuT_Deelnemers[ID Deelnemer],Table_LuT_Deelnemers[In-kind Bijdrage],"",0,1),IF(_xlpm.Var_Bedrag=0,"",_xlpm.Var_Bedrag))</f>
        <v/>
      </c>
      <c r="P21" s="277" t="str">
        <f ca="1">_xlfn.LET(_xlpm.Var_Bedrag,_xlfn.XLOOKUP($A21,Table_LuT_Deelnemers[ID Deelnemer],Table_LuT_Deelnemers[Overige Subsidies],"",0,1),IF(_xlpm.Var_Bedrag=0,"",_xlpm.Var_Bedrag))</f>
        <v/>
      </c>
      <c r="Q21" s="277" t="str">
        <f ca="1">_xlfn.LET(_xlpm.Var_Bedrag,_xlfn.XLOOKUP($A21,Table_LuT_Deelnemers[ID Deelnemer],Table_LuT_Deelnemers[Gevraagde Subsidie FO],"",0,1),IF(_xlpm.Var_Bedrag=0,"",_xlpm.Var_Bedrag))</f>
        <v/>
      </c>
      <c r="R21" s="277" t="str">
        <f ca="1">_xlfn.LET(_xlpm.Var_Bedrag,_xlfn.XLOOKUP($A21,Table_LuT_Deelnemers[ID Deelnemer],Table_LuT_Deelnemers[Gevraagde Subsidie IO],"",0,1),IF(_xlpm.Var_Bedrag=0,"",_xlpm.Var_Bedrag))</f>
        <v/>
      </c>
      <c r="S21" s="277" t="str">
        <f ca="1">_xlfn.LET(_xlpm.Var_Bedrag,_xlfn.XLOOKUP($A21,Table_LuT_Deelnemers[ID Deelnemer],Table_LuT_Deelnemers[Gevraagde Subsidie EO],"",0,1),IF(_xlpm.Var_Bedrag=0,"",_xlpm.Var_Bedrag))</f>
        <v/>
      </c>
    </row>
  </sheetData>
  <sheetProtection algorithmName="SHA-512" hashValue="9ZFZcMSxNcSODL8LnsC8Itjllq5r7Z4v3EqH+WbaS3KK9P6LKhWfkyZJU3gkmygvKEtGgv6SDYHv1Wa0fNcbtA==" saltValue="U9rSXIuiepEH9S6aJyJyVQ==" spinCount="100000" sheet="1" objects="1" scenarios="1"/>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A3E84-040E-443D-ABDE-7BA16AE3F0DF}">
  <sheetPr codeName="Sheet11">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6</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6</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amyzA+dEDUAvf+ezA3C8SSXLPsaIjWod8QeRnT/1QeVVlDd/0Z6Qnuhfi8fq9MteecTMOSuva2dhZZ2khdcutw==" saltValue="oiI5C1yIhbF2s5sBejSmqQ==" spinCount="100000" sheet="1" objects="1" scenarios="1" selectLockedCells="1"/>
  <mergeCells count="63">
    <mergeCell ref="H28:I28"/>
    <mergeCell ref="B9:C9"/>
    <mergeCell ref="A11:C11"/>
    <mergeCell ref="D11:E11"/>
    <mergeCell ref="F11:G11"/>
    <mergeCell ref="H11:I11"/>
    <mergeCell ref="A23:C23"/>
    <mergeCell ref="A24:C24"/>
    <mergeCell ref="A25:C25"/>
    <mergeCell ref="A28:C28"/>
    <mergeCell ref="D28:E28"/>
    <mergeCell ref="F28:G28"/>
    <mergeCell ref="A40:C40"/>
    <mergeCell ref="A29:B29"/>
    <mergeCell ref="A30:B30"/>
    <mergeCell ref="A31:B31"/>
    <mergeCell ref="A32:B32"/>
    <mergeCell ref="A33:B33"/>
    <mergeCell ref="A34:B34"/>
    <mergeCell ref="A35:B35"/>
    <mergeCell ref="A36:B36"/>
    <mergeCell ref="A37:B37"/>
    <mergeCell ref="A38:B38"/>
    <mergeCell ref="A39:B39"/>
    <mergeCell ref="A51:C51"/>
    <mergeCell ref="A43:C43"/>
    <mergeCell ref="D43:E43"/>
    <mergeCell ref="F43:G43"/>
    <mergeCell ref="H43:I43"/>
    <mergeCell ref="A44:C44"/>
    <mergeCell ref="A45:C45"/>
    <mergeCell ref="A46:C46"/>
    <mergeCell ref="A47:C47"/>
    <mergeCell ref="A48:C48"/>
    <mergeCell ref="A49:C49"/>
    <mergeCell ref="A50:C50"/>
    <mergeCell ref="A62:C62"/>
    <mergeCell ref="A52:C52"/>
    <mergeCell ref="A53:C53"/>
    <mergeCell ref="A54:C54"/>
    <mergeCell ref="A55:C55"/>
    <mergeCell ref="A58:C58"/>
    <mergeCell ref="F58:G58"/>
    <mergeCell ref="H58:I58"/>
    <mergeCell ref="A59:C59"/>
    <mergeCell ref="A60:C60"/>
    <mergeCell ref="A61:C61"/>
    <mergeCell ref="D58:E58"/>
    <mergeCell ref="D73:E73"/>
    <mergeCell ref="F73:G73"/>
    <mergeCell ref="H73:I73"/>
    <mergeCell ref="A63:C63"/>
    <mergeCell ref="A64:C64"/>
    <mergeCell ref="A65:C65"/>
    <mergeCell ref="A66:C66"/>
    <mergeCell ref="A67:C67"/>
    <mergeCell ref="A68:C68"/>
    <mergeCell ref="A74:C74"/>
    <mergeCell ref="A75:C75"/>
    <mergeCell ref="A76:C76"/>
    <mergeCell ref="A69:C69"/>
    <mergeCell ref="A70:C70"/>
    <mergeCell ref="A73:C73"/>
  </mergeCells>
  <dataValidations count="1">
    <dataValidation type="list" allowBlank="1" showInputMessage="1" showErrorMessage="1" sqref="B9" xr:uid="{36708A92-8199-4E87-8A59-699F52C586E6}">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533A8-64D5-4F71-AFCF-C63C000D4E10}">
  <sheetPr codeName="Sheet12">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7</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7</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UaFunqrC3vLWDIkCjYBs8iVVkj7sPYpIQn9foWX88W09tF9sQZyc7EUXhwbsgN8EJEY397br3kHFrVm8cDPagg==" saltValue="zr2RFt6NWbKFJu2EhRTc0Q==" spinCount="100000" sheet="1" objects="1" scenarios="1" selectLockedCells="1"/>
  <mergeCells count="63">
    <mergeCell ref="H28:I28"/>
    <mergeCell ref="B9:C9"/>
    <mergeCell ref="A11:C11"/>
    <mergeCell ref="D11:E11"/>
    <mergeCell ref="F11:G11"/>
    <mergeCell ref="H11:I11"/>
    <mergeCell ref="A23:C23"/>
    <mergeCell ref="A24:C24"/>
    <mergeCell ref="A25:C25"/>
    <mergeCell ref="A28:C28"/>
    <mergeCell ref="D28:E28"/>
    <mergeCell ref="F28:G28"/>
    <mergeCell ref="A40:C40"/>
    <mergeCell ref="A29:B29"/>
    <mergeCell ref="A30:B30"/>
    <mergeCell ref="A31:B31"/>
    <mergeCell ref="A32:B32"/>
    <mergeCell ref="A33:B33"/>
    <mergeCell ref="A34:B34"/>
    <mergeCell ref="A35:B35"/>
    <mergeCell ref="A36:B36"/>
    <mergeCell ref="A37:B37"/>
    <mergeCell ref="A38:B38"/>
    <mergeCell ref="A39:B39"/>
    <mergeCell ref="A51:C51"/>
    <mergeCell ref="A43:C43"/>
    <mergeCell ref="D43:E43"/>
    <mergeCell ref="F43:G43"/>
    <mergeCell ref="H43:I43"/>
    <mergeCell ref="A44:C44"/>
    <mergeCell ref="A45:C45"/>
    <mergeCell ref="A46:C46"/>
    <mergeCell ref="A47:C47"/>
    <mergeCell ref="A48:C48"/>
    <mergeCell ref="A49:C49"/>
    <mergeCell ref="A50:C50"/>
    <mergeCell ref="A62:C62"/>
    <mergeCell ref="A52:C52"/>
    <mergeCell ref="A53:C53"/>
    <mergeCell ref="A54:C54"/>
    <mergeCell ref="A55:C55"/>
    <mergeCell ref="A58:C58"/>
    <mergeCell ref="F58:G58"/>
    <mergeCell ref="H58:I58"/>
    <mergeCell ref="A59:C59"/>
    <mergeCell ref="A60:C60"/>
    <mergeCell ref="A61:C61"/>
    <mergeCell ref="D58:E58"/>
    <mergeCell ref="D73:E73"/>
    <mergeCell ref="F73:G73"/>
    <mergeCell ref="H73:I73"/>
    <mergeCell ref="A63:C63"/>
    <mergeCell ref="A64:C64"/>
    <mergeCell ref="A65:C65"/>
    <mergeCell ref="A66:C66"/>
    <mergeCell ref="A67:C67"/>
    <mergeCell ref="A68:C68"/>
    <mergeCell ref="A74:C74"/>
    <mergeCell ref="A75:C75"/>
    <mergeCell ref="A76:C76"/>
    <mergeCell ref="A69:C69"/>
    <mergeCell ref="A70:C70"/>
    <mergeCell ref="A73:C73"/>
  </mergeCells>
  <dataValidations count="1">
    <dataValidation type="list" allowBlank="1" showInputMessage="1" showErrorMessage="1" sqref="B9" xr:uid="{900F3038-BF60-4F5E-A9C0-2E20E618BD9C}">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EEF51-3373-4B73-BCFB-2446CAD69582}">
  <sheetPr codeName="Sheet13">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8</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8</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TXF26QtJTWGZwrxDx5Cl5ihhPFLottX8uRHGbxxSElDviLqJ4t1Q75j4krkT1NUJwXHtHEnPu6Gm2QI1YiQQ9w==" saltValue="NuFn/0mR90mWMpTeiwTZCA==" spinCount="100000" sheet="1" objects="1" scenarios="1" selectLockedCells="1"/>
  <mergeCells count="63">
    <mergeCell ref="H28:I28"/>
    <mergeCell ref="B9:C9"/>
    <mergeCell ref="A11:C11"/>
    <mergeCell ref="D11:E11"/>
    <mergeCell ref="F11:G11"/>
    <mergeCell ref="H11:I11"/>
    <mergeCell ref="A23:C23"/>
    <mergeCell ref="A24:C24"/>
    <mergeCell ref="A25:C25"/>
    <mergeCell ref="A28:C28"/>
    <mergeCell ref="D28:E28"/>
    <mergeCell ref="F28:G28"/>
    <mergeCell ref="A40:C40"/>
    <mergeCell ref="A29:B29"/>
    <mergeCell ref="A30:B30"/>
    <mergeCell ref="A31:B31"/>
    <mergeCell ref="A32:B32"/>
    <mergeCell ref="A33:B33"/>
    <mergeCell ref="A34:B34"/>
    <mergeCell ref="A35:B35"/>
    <mergeCell ref="A36:B36"/>
    <mergeCell ref="A37:B37"/>
    <mergeCell ref="A38:B38"/>
    <mergeCell ref="A39:B39"/>
    <mergeCell ref="A51:C51"/>
    <mergeCell ref="A43:C43"/>
    <mergeCell ref="D43:E43"/>
    <mergeCell ref="F43:G43"/>
    <mergeCell ref="H43:I43"/>
    <mergeCell ref="A44:C44"/>
    <mergeCell ref="A45:C45"/>
    <mergeCell ref="A46:C46"/>
    <mergeCell ref="A47:C47"/>
    <mergeCell ref="A48:C48"/>
    <mergeCell ref="A49:C49"/>
    <mergeCell ref="A50:C50"/>
    <mergeCell ref="A62:C62"/>
    <mergeCell ref="A52:C52"/>
    <mergeCell ref="A53:C53"/>
    <mergeCell ref="A54:C54"/>
    <mergeCell ref="A55:C55"/>
    <mergeCell ref="A58:C58"/>
    <mergeCell ref="F58:G58"/>
    <mergeCell ref="H58:I58"/>
    <mergeCell ref="A59:C59"/>
    <mergeCell ref="A60:C60"/>
    <mergeCell ref="A61:C61"/>
    <mergeCell ref="D58:E58"/>
    <mergeCell ref="D73:E73"/>
    <mergeCell ref="F73:G73"/>
    <mergeCell ref="H73:I73"/>
    <mergeCell ref="A63:C63"/>
    <mergeCell ref="A64:C64"/>
    <mergeCell ref="A65:C65"/>
    <mergeCell ref="A66:C66"/>
    <mergeCell ref="A67:C67"/>
    <mergeCell ref="A68:C68"/>
    <mergeCell ref="A74:C74"/>
    <mergeCell ref="A75:C75"/>
    <mergeCell ref="A76:C76"/>
    <mergeCell ref="A69:C69"/>
    <mergeCell ref="A70:C70"/>
    <mergeCell ref="A73:C73"/>
  </mergeCells>
  <dataValidations count="1">
    <dataValidation type="list" allowBlank="1" showInputMessage="1" showErrorMessage="1" sqref="B9" xr:uid="{B1A30CE6-2A33-466D-A9A2-42F13DCEF79A}">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7BCC7-FE25-4478-8B9E-AC123FF40881}">
  <sheetPr codeName="Sheet14">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9</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9</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Iplq5eWVsRfB6/bJJ0ugFYOaam0cTAbzsO6Oili4x0HNEV8Vs00hT3+71Q5mbrGGa8MO0rzOuXOSDf6GyiZ+0g==" saltValue="dvJgpZ2orZqd0pfDmnYyyQ==" spinCount="100000" sheet="1" objects="1" scenarios="1" selectLockedCells="1"/>
  <mergeCells count="63">
    <mergeCell ref="H28:I28"/>
    <mergeCell ref="B9:C9"/>
    <mergeCell ref="A11:C11"/>
    <mergeCell ref="D11:E11"/>
    <mergeCell ref="F11:G11"/>
    <mergeCell ref="H11:I11"/>
    <mergeCell ref="A23:C23"/>
    <mergeCell ref="A24:C24"/>
    <mergeCell ref="A25:C25"/>
    <mergeCell ref="A28:C28"/>
    <mergeCell ref="D28:E28"/>
    <mergeCell ref="F28:G28"/>
    <mergeCell ref="A40:C40"/>
    <mergeCell ref="A29:B29"/>
    <mergeCell ref="A30:B30"/>
    <mergeCell ref="A31:B31"/>
    <mergeCell ref="A32:B32"/>
    <mergeCell ref="A33:B33"/>
    <mergeCell ref="A34:B34"/>
    <mergeCell ref="A35:B35"/>
    <mergeCell ref="A36:B36"/>
    <mergeCell ref="A37:B37"/>
    <mergeCell ref="A38:B38"/>
    <mergeCell ref="A39:B39"/>
    <mergeCell ref="A51:C51"/>
    <mergeCell ref="A43:C43"/>
    <mergeCell ref="D43:E43"/>
    <mergeCell ref="F43:G43"/>
    <mergeCell ref="H43:I43"/>
    <mergeCell ref="A44:C44"/>
    <mergeCell ref="A45:C45"/>
    <mergeCell ref="A46:C46"/>
    <mergeCell ref="A47:C47"/>
    <mergeCell ref="A48:C48"/>
    <mergeCell ref="A49:C49"/>
    <mergeCell ref="A50:C50"/>
    <mergeCell ref="A62:C62"/>
    <mergeCell ref="A52:C52"/>
    <mergeCell ref="A53:C53"/>
    <mergeCell ref="A54:C54"/>
    <mergeCell ref="A55:C55"/>
    <mergeCell ref="A58:C58"/>
    <mergeCell ref="F58:G58"/>
    <mergeCell ref="H58:I58"/>
    <mergeCell ref="A59:C59"/>
    <mergeCell ref="A60:C60"/>
    <mergeCell ref="A61:C61"/>
    <mergeCell ref="D58:E58"/>
    <mergeCell ref="D73:E73"/>
    <mergeCell ref="F73:G73"/>
    <mergeCell ref="H73:I73"/>
    <mergeCell ref="A63:C63"/>
    <mergeCell ref="A64:C64"/>
    <mergeCell ref="A65:C65"/>
    <mergeCell ref="A66:C66"/>
    <mergeCell ref="A67:C67"/>
    <mergeCell ref="A68:C68"/>
    <mergeCell ref="A74:C74"/>
    <mergeCell ref="A75:C75"/>
    <mergeCell ref="A76:C76"/>
    <mergeCell ref="A69:C69"/>
    <mergeCell ref="A70:C70"/>
    <mergeCell ref="A73:C73"/>
  </mergeCells>
  <dataValidations count="1">
    <dataValidation type="list" allowBlank="1" showInputMessage="1" showErrorMessage="1" sqref="B9" xr:uid="{D06E9DA3-E629-4319-82D4-509332546139}">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848AA-67D4-4F55-98C7-099ECF5D4A03}">
  <sheetPr codeName="Sheet15">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10</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10</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SgPQi8mDnSCfV2T8VKR2CYan9TzRF5IgbIM6mLulN0Ng0q1JYHaaMQgj/pAtmwBsoxgJ5DOhFl8Dgk4RP8RDzA==" saltValue="5vKN37disudCfFwnDOf4JA==" spinCount="100000" sheet="1" objects="1" scenarios="1" selectLockedCells="1"/>
  <mergeCells count="63">
    <mergeCell ref="H28:I28"/>
    <mergeCell ref="B9:C9"/>
    <mergeCell ref="A11:C11"/>
    <mergeCell ref="D11:E11"/>
    <mergeCell ref="F11:G11"/>
    <mergeCell ref="H11:I11"/>
    <mergeCell ref="A23:C23"/>
    <mergeCell ref="A24:C24"/>
    <mergeCell ref="A25:C25"/>
    <mergeCell ref="A28:C28"/>
    <mergeCell ref="D28:E28"/>
    <mergeCell ref="F28:G28"/>
    <mergeCell ref="A40:C40"/>
    <mergeCell ref="A29:B29"/>
    <mergeCell ref="A30:B30"/>
    <mergeCell ref="A31:B31"/>
    <mergeCell ref="A32:B32"/>
    <mergeCell ref="A33:B33"/>
    <mergeCell ref="A34:B34"/>
    <mergeCell ref="A35:B35"/>
    <mergeCell ref="A36:B36"/>
    <mergeCell ref="A37:B37"/>
    <mergeCell ref="A38:B38"/>
    <mergeCell ref="A39:B39"/>
    <mergeCell ref="A51:C51"/>
    <mergeCell ref="A43:C43"/>
    <mergeCell ref="D43:E43"/>
    <mergeCell ref="F43:G43"/>
    <mergeCell ref="H43:I43"/>
    <mergeCell ref="A44:C44"/>
    <mergeCell ref="A45:C45"/>
    <mergeCell ref="A46:C46"/>
    <mergeCell ref="A47:C47"/>
    <mergeCell ref="A48:C48"/>
    <mergeCell ref="A49:C49"/>
    <mergeCell ref="A50:C50"/>
    <mergeCell ref="A62:C62"/>
    <mergeCell ref="A52:C52"/>
    <mergeCell ref="A53:C53"/>
    <mergeCell ref="A54:C54"/>
    <mergeCell ref="A55:C55"/>
    <mergeCell ref="A58:C58"/>
    <mergeCell ref="F58:G58"/>
    <mergeCell ref="H58:I58"/>
    <mergeCell ref="A59:C59"/>
    <mergeCell ref="A60:C60"/>
    <mergeCell ref="A61:C61"/>
    <mergeCell ref="D58:E58"/>
    <mergeCell ref="D73:E73"/>
    <mergeCell ref="F73:G73"/>
    <mergeCell ref="H73:I73"/>
    <mergeCell ref="A63:C63"/>
    <mergeCell ref="A64:C64"/>
    <mergeCell ref="A65:C65"/>
    <mergeCell ref="A66:C66"/>
    <mergeCell ref="A67:C67"/>
    <mergeCell ref="A68:C68"/>
    <mergeCell ref="A74:C74"/>
    <mergeCell ref="A75:C75"/>
    <mergeCell ref="A76:C76"/>
    <mergeCell ref="A69:C69"/>
    <mergeCell ref="A70:C70"/>
    <mergeCell ref="A73:C73"/>
  </mergeCells>
  <dataValidations count="1">
    <dataValidation type="list" allowBlank="1" showInputMessage="1" showErrorMessage="1" sqref="B9" xr:uid="{5D682C9A-B007-47C1-B11B-2029DF1A3D8A}">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6CABC-0670-407D-92FB-B818A7A0464F}">
  <sheetPr codeName="Sheet17">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 &amp; IF(B5="","",": "&amp;B5)</f>
        <v>Begroting – Deelnemer 11</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11</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zF9Vv8uRG/wIIkU1baxwIwkCfVl3euMqdy+574WF9crdRod2ZUvSRmRsqJqRYcV8WME0J0wfcfSNUEATwuEShw==" saltValue="Ws112Xi5W6D6l1t6WdxwhQ==" spinCount="100000" sheet="1" objects="1" scenarios="1" selectLockedCells="1"/>
  <mergeCells count="63">
    <mergeCell ref="B9:C9"/>
    <mergeCell ref="A11:C11"/>
    <mergeCell ref="D11:E11"/>
    <mergeCell ref="F11:G11"/>
    <mergeCell ref="H11:I11"/>
    <mergeCell ref="A33:B33"/>
    <mergeCell ref="A23:C23"/>
    <mergeCell ref="A24:C24"/>
    <mergeCell ref="A25:C25"/>
    <mergeCell ref="A28:C28"/>
    <mergeCell ref="H28:I28"/>
    <mergeCell ref="A29:B29"/>
    <mergeCell ref="A30:B30"/>
    <mergeCell ref="A31:B31"/>
    <mergeCell ref="A32:B32"/>
    <mergeCell ref="D28:E28"/>
    <mergeCell ref="F28:G28"/>
    <mergeCell ref="H43:I43"/>
    <mergeCell ref="A44:C44"/>
    <mergeCell ref="A34:B34"/>
    <mergeCell ref="A35:B35"/>
    <mergeCell ref="A36:B36"/>
    <mergeCell ref="A37:B37"/>
    <mergeCell ref="A38:B38"/>
    <mergeCell ref="A39:B39"/>
    <mergeCell ref="A50:C50"/>
    <mergeCell ref="A40:C40"/>
    <mergeCell ref="A43:C43"/>
    <mergeCell ref="D43:E43"/>
    <mergeCell ref="F43:G43"/>
    <mergeCell ref="A45:C45"/>
    <mergeCell ref="A46:C46"/>
    <mergeCell ref="A47:C47"/>
    <mergeCell ref="A48:C48"/>
    <mergeCell ref="A49:C49"/>
    <mergeCell ref="A51:C51"/>
    <mergeCell ref="A52:C52"/>
    <mergeCell ref="A53:C53"/>
    <mergeCell ref="A54:C54"/>
    <mergeCell ref="A55:C55"/>
    <mergeCell ref="A67:C67"/>
    <mergeCell ref="D58:E58"/>
    <mergeCell ref="F58:G58"/>
    <mergeCell ref="H58:I58"/>
    <mergeCell ref="A59:C59"/>
    <mergeCell ref="A60:C60"/>
    <mergeCell ref="A61:C61"/>
    <mergeCell ref="A58:C58"/>
    <mergeCell ref="A62:C62"/>
    <mergeCell ref="A63:C63"/>
    <mergeCell ref="A64:C64"/>
    <mergeCell ref="A65:C65"/>
    <mergeCell ref="A66:C66"/>
    <mergeCell ref="H73:I73"/>
    <mergeCell ref="A74:C74"/>
    <mergeCell ref="A75:C75"/>
    <mergeCell ref="A76:C76"/>
    <mergeCell ref="A68:C68"/>
    <mergeCell ref="A69:C69"/>
    <mergeCell ref="A70:C70"/>
    <mergeCell ref="A73:C73"/>
    <mergeCell ref="D73:E73"/>
    <mergeCell ref="F73:G73"/>
  </mergeCells>
  <dataValidations count="1">
    <dataValidation type="list" allowBlank="1" showInputMessage="1" showErrorMessage="1" sqref="B9" xr:uid="{11745AB5-9EF8-4B54-B915-83AB6A375D7F}">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3730D-75E5-4234-B087-9714FD6AB654}">
  <sheetPr codeName="Sheet18">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12</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12</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nwNBJvP5ANp3yIKE9c81kJDGUhtjPbe7uYhTKsRsrtsEJfP9/WRIcegUWW31PFU4AdzW5Ws4ViFD4pL2EJQ+hQ==" saltValue="dcdZ7SNcHu+3BRQ0zyosuQ==" spinCount="100000" sheet="1" objects="1" scenarios="1" selectLockedCells="1"/>
  <mergeCells count="63">
    <mergeCell ref="B9:C9"/>
    <mergeCell ref="A11:C11"/>
    <mergeCell ref="D11:E11"/>
    <mergeCell ref="F11:G11"/>
    <mergeCell ref="H11:I11"/>
    <mergeCell ref="A33:B33"/>
    <mergeCell ref="A23:C23"/>
    <mergeCell ref="A24:C24"/>
    <mergeCell ref="A25:C25"/>
    <mergeCell ref="A28:C28"/>
    <mergeCell ref="H28:I28"/>
    <mergeCell ref="A29:B29"/>
    <mergeCell ref="A30:B30"/>
    <mergeCell ref="A31:B31"/>
    <mergeCell ref="A32:B32"/>
    <mergeCell ref="D28:E28"/>
    <mergeCell ref="F28:G28"/>
    <mergeCell ref="H43:I43"/>
    <mergeCell ref="A44:C44"/>
    <mergeCell ref="A34:B34"/>
    <mergeCell ref="A35:B35"/>
    <mergeCell ref="A36:B36"/>
    <mergeCell ref="A37:B37"/>
    <mergeCell ref="A38:B38"/>
    <mergeCell ref="A39:B39"/>
    <mergeCell ref="A50:C50"/>
    <mergeCell ref="A40:C40"/>
    <mergeCell ref="A43:C43"/>
    <mergeCell ref="D43:E43"/>
    <mergeCell ref="F43:G43"/>
    <mergeCell ref="A45:C45"/>
    <mergeCell ref="A46:C46"/>
    <mergeCell ref="A47:C47"/>
    <mergeCell ref="A48:C48"/>
    <mergeCell ref="A49:C49"/>
    <mergeCell ref="A51:C51"/>
    <mergeCell ref="A52:C52"/>
    <mergeCell ref="A53:C53"/>
    <mergeCell ref="A54:C54"/>
    <mergeCell ref="A55:C55"/>
    <mergeCell ref="A67:C67"/>
    <mergeCell ref="D58:E58"/>
    <mergeCell ref="F58:G58"/>
    <mergeCell ref="H58:I58"/>
    <mergeCell ref="A59:C59"/>
    <mergeCell ref="A60:C60"/>
    <mergeCell ref="A61:C61"/>
    <mergeCell ref="A58:C58"/>
    <mergeCell ref="A62:C62"/>
    <mergeCell ref="A63:C63"/>
    <mergeCell ref="A64:C64"/>
    <mergeCell ref="A65:C65"/>
    <mergeCell ref="A66:C66"/>
    <mergeCell ref="H73:I73"/>
    <mergeCell ref="A74:C74"/>
    <mergeCell ref="A75:C75"/>
    <mergeCell ref="A76:C76"/>
    <mergeCell ref="A68:C68"/>
    <mergeCell ref="A69:C69"/>
    <mergeCell ref="A70:C70"/>
    <mergeCell ref="A73:C73"/>
    <mergeCell ref="D73:E73"/>
    <mergeCell ref="F73:G73"/>
  </mergeCells>
  <dataValidations count="1">
    <dataValidation type="list" allowBlank="1" showInputMessage="1" showErrorMessage="1" sqref="B9" xr:uid="{6A388B3E-62E5-45B3-BF67-2A866C54F492}">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DB84D-8BDB-448D-A91C-FD9166ACADD8}">
  <sheetPr codeName="Sheet19">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13</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13</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w8yIsO0ObKjpdTDT5GSnaULykjTewLSOIYNKIWknieQKWq68KAaVbRr34BM1ha49VbeLAPfQ5WXqa1sO8srG2w==" saltValue="kRlXt4k0l3ixbSAaYZJifw==" spinCount="100000" sheet="1" objects="1" scenarios="1" selectLockedCells="1"/>
  <mergeCells count="63">
    <mergeCell ref="B9:C9"/>
    <mergeCell ref="A11:C11"/>
    <mergeCell ref="D11:E11"/>
    <mergeCell ref="F11:G11"/>
    <mergeCell ref="H11:I11"/>
    <mergeCell ref="A33:B33"/>
    <mergeCell ref="A23:C23"/>
    <mergeCell ref="A24:C24"/>
    <mergeCell ref="A25:C25"/>
    <mergeCell ref="A28:C28"/>
    <mergeCell ref="H28:I28"/>
    <mergeCell ref="A29:B29"/>
    <mergeCell ref="A30:B30"/>
    <mergeCell ref="A31:B31"/>
    <mergeCell ref="A32:B32"/>
    <mergeCell ref="D28:E28"/>
    <mergeCell ref="F28:G28"/>
    <mergeCell ref="H43:I43"/>
    <mergeCell ref="A44:C44"/>
    <mergeCell ref="A34:B34"/>
    <mergeCell ref="A35:B35"/>
    <mergeCell ref="A36:B36"/>
    <mergeCell ref="A37:B37"/>
    <mergeCell ref="A38:B38"/>
    <mergeCell ref="A39:B39"/>
    <mergeCell ref="A50:C50"/>
    <mergeCell ref="A40:C40"/>
    <mergeCell ref="A43:C43"/>
    <mergeCell ref="D43:E43"/>
    <mergeCell ref="F43:G43"/>
    <mergeCell ref="A45:C45"/>
    <mergeCell ref="A46:C46"/>
    <mergeCell ref="A47:C47"/>
    <mergeCell ref="A48:C48"/>
    <mergeCell ref="A49:C49"/>
    <mergeCell ref="A51:C51"/>
    <mergeCell ref="A52:C52"/>
    <mergeCell ref="A53:C53"/>
    <mergeCell ref="A54:C54"/>
    <mergeCell ref="A55:C55"/>
    <mergeCell ref="A67:C67"/>
    <mergeCell ref="D58:E58"/>
    <mergeCell ref="F58:G58"/>
    <mergeCell ref="H58:I58"/>
    <mergeCell ref="A59:C59"/>
    <mergeCell ref="A60:C60"/>
    <mergeCell ref="A61:C61"/>
    <mergeCell ref="A58:C58"/>
    <mergeCell ref="A62:C62"/>
    <mergeCell ref="A63:C63"/>
    <mergeCell ref="A64:C64"/>
    <mergeCell ref="A65:C65"/>
    <mergeCell ref="A66:C66"/>
    <mergeCell ref="H73:I73"/>
    <mergeCell ref="A74:C74"/>
    <mergeCell ref="A75:C75"/>
    <mergeCell ref="A76:C76"/>
    <mergeCell ref="A68:C68"/>
    <mergeCell ref="A69:C69"/>
    <mergeCell ref="A70:C70"/>
    <mergeCell ref="A73:C73"/>
    <mergeCell ref="D73:E73"/>
    <mergeCell ref="F73:G73"/>
  </mergeCells>
  <dataValidations count="1">
    <dataValidation type="list" allowBlank="1" showInputMessage="1" showErrorMessage="1" sqref="B9" xr:uid="{2DD3A8B8-C06B-443B-8D2B-9D976626B1FF}">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F7D6F-F0EE-4833-86D1-0332A2F51E39}">
  <sheetPr codeName="Sheet20">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14</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14</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G1KvE8DqhC9c0wG/VC9v++9gR1TZOO0S2u/T88AVhPqVdcLszFMWB+Kx9XSgXxpvNjpJsacf+RV29mDPW10UBw==" saltValue="GPLeDJ142xDN8l/somDyaA==" spinCount="100000" sheet="1" objects="1" scenarios="1" selectLockedCells="1"/>
  <mergeCells count="63">
    <mergeCell ref="B9:C9"/>
    <mergeCell ref="A11:C11"/>
    <mergeCell ref="D11:E11"/>
    <mergeCell ref="F11:G11"/>
    <mergeCell ref="H11:I11"/>
    <mergeCell ref="A33:B33"/>
    <mergeCell ref="A23:C23"/>
    <mergeCell ref="A24:C24"/>
    <mergeCell ref="A25:C25"/>
    <mergeCell ref="A28:C28"/>
    <mergeCell ref="H28:I28"/>
    <mergeCell ref="A29:B29"/>
    <mergeCell ref="A30:B30"/>
    <mergeCell ref="A31:B31"/>
    <mergeCell ref="A32:B32"/>
    <mergeCell ref="D28:E28"/>
    <mergeCell ref="F28:G28"/>
    <mergeCell ref="H43:I43"/>
    <mergeCell ref="A44:C44"/>
    <mergeCell ref="A34:B34"/>
    <mergeCell ref="A35:B35"/>
    <mergeCell ref="A36:B36"/>
    <mergeCell ref="A37:B37"/>
    <mergeCell ref="A38:B38"/>
    <mergeCell ref="A39:B39"/>
    <mergeCell ref="A50:C50"/>
    <mergeCell ref="A40:C40"/>
    <mergeCell ref="A43:C43"/>
    <mergeCell ref="D43:E43"/>
    <mergeCell ref="F43:G43"/>
    <mergeCell ref="A45:C45"/>
    <mergeCell ref="A46:C46"/>
    <mergeCell ref="A47:C47"/>
    <mergeCell ref="A48:C48"/>
    <mergeCell ref="A49:C49"/>
    <mergeCell ref="A51:C51"/>
    <mergeCell ref="A52:C52"/>
    <mergeCell ref="A53:C53"/>
    <mergeCell ref="A54:C54"/>
    <mergeCell ref="A55:C55"/>
    <mergeCell ref="A67:C67"/>
    <mergeCell ref="D58:E58"/>
    <mergeCell ref="F58:G58"/>
    <mergeCell ref="H58:I58"/>
    <mergeCell ref="A59:C59"/>
    <mergeCell ref="A60:C60"/>
    <mergeCell ref="A61:C61"/>
    <mergeCell ref="A58:C58"/>
    <mergeCell ref="A62:C62"/>
    <mergeCell ref="A63:C63"/>
    <mergeCell ref="A64:C64"/>
    <mergeCell ref="A65:C65"/>
    <mergeCell ref="A66:C66"/>
    <mergeCell ref="H73:I73"/>
    <mergeCell ref="A74:C74"/>
    <mergeCell ref="A75:C75"/>
    <mergeCell ref="A76:C76"/>
    <mergeCell ref="A68:C68"/>
    <mergeCell ref="A69:C69"/>
    <mergeCell ref="A70:C70"/>
    <mergeCell ref="A73:C73"/>
    <mergeCell ref="D73:E73"/>
    <mergeCell ref="F73:G73"/>
  </mergeCells>
  <dataValidations count="1">
    <dataValidation type="list" allowBlank="1" showInputMessage="1" showErrorMessage="1" sqref="B9" xr:uid="{CCDF7224-1310-4FEE-A1E2-281F80D0A964}">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B1CF-B043-4E39-B410-35F1083B1EB9}">
  <sheetPr codeName="Sheet21">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15</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15</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7R47QUTrbMVXKT1uq0hSt+KilBDQKVnY4+Bvp1DcZyMkTVcd2Nbnd5ei/8XiG6EUwKe/PyUHUivaCk1d+l/Svg==" saltValue="x8DijRwH1mI0vlgVd9fi6A==" spinCount="100000" sheet="1" objects="1" scenarios="1" selectLockedCells="1"/>
  <mergeCells count="63">
    <mergeCell ref="B9:C9"/>
    <mergeCell ref="A11:C11"/>
    <mergeCell ref="D11:E11"/>
    <mergeCell ref="F11:G11"/>
    <mergeCell ref="H11:I11"/>
    <mergeCell ref="A33:B33"/>
    <mergeCell ref="A23:C23"/>
    <mergeCell ref="A24:C24"/>
    <mergeCell ref="A25:C25"/>
    <mergeCell ref="A28:C28"/>
    <mergeCell ref="H28:I28"/>
    <mergeCell ref="A29:B29"/>
    <mergeCell ref="A30:B30"/>
    <mergeCell ref="A31:B31"/>
    <mergeCell ref="A32:B32"/>
    <mergeCell ref="D28:E28"/>
    <mergeCell ref="F28:G28"/>
    <mergeCell ref="H43:I43"/>
    <mergeCell ref="A44:C44"/>
    <mergeCell ref="A34:B34"/>
    <mergeCell ref="A35:B35"/>
    <mergeCell ref="A36:B36"/>
    <mergeCell ref="A37:B37"/>
    <mergeCell ref="A38:B38"/>
    <mergeCell ref="A39:B39"/>
    <mergeCell ref="A50:C50"/>
    <mergeCell ref="A40:C40"/>
    <mergeCell ref="A43:C43"/>
    <mergeCell ref="D43:E43"/>
    <mergeCell ref="F43:G43"/>
    <mergeCell ref="A45:C45"/>
    <mergeCell ref="A46:C46"/>
    <mergeCell ref="A47:C47"/>
    <mergeCell ref="A48:C48"/>
    <mergeCell ref="A49:C49"/>
    <mergeCell ref="A51:C51"/>
    <mergeCell ref="A52:C52"/>
    <mergeCell ref="A53:C53"/>
    <mergeCell ref="A54:C54"/>
    <mergeCell ref="A55:C55"/>
    <mergeCell ref="A67:C67"/>
    <mergeCell ref="D58:E58"/>
    <mergeCell ref="F58:G58"/>
    <mergeCell ref="H58:I58"/>
    <mergeCell ref="A59:C59"/>
    <mergeCell ref="A60:C60"/>
    <mergeCell ref="A61:C61"/>
    <mergeCell ref="A58:C58"/>
    <mergeCell ref="A62:C62"/>
    <mergeCell ref="A63:C63"/>
    <mergeCell ref="A64:C64"/>
    <mergeCell ref="A65:C65"/>
    <mergeCell ref="A66:C66"/>
    <mergeCell ref="H73:I73"/>
    <mergeCell ref="A74:C74"/>
    <mergeCell ref="A75:C75"/>
    <mergeCell ref="A76:C76"/>
    <mergeCell ref="A68:C68"/>
    <mergeCell ref="A69:C69"/>
    <mergeCell ref="A70:C70"/>
    <mergeCell ref="A73:C73"/>
    <mergeCell ref="D73:E73"/>
    <mergeCell ref="F73:G73"/>
  </mergeCells>
  <dataValidations count="1">
    <dataValidation type="list" allowBlank="1" showInputMessage="1" showErrorMessage="1" sqref="B9" xr:uid="{4E6B98AB-CB9C-4824-B025-E272FC95C612}">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45C8-379B-4A77-9996-0F9CDD039BF0}">
  <sheetPr codeName="Sheet2">
    <tabColor theme="9"/>
  </sheetPr>
  <dimension ref="A1:D6"/>
  <sheetViews>
    <sheetView zoomScale="85" zoomScaleNormal="85" workbookViewId="0">
      <pane ySplit="1" topLeftCell="A2" activePane="bottomLeft" state="frozen"/>
      <selection activeCell="B3" sqref="B3:C3"/>
      <selection pane="bottomLeft" activeCell="C4" sqref="C4"/>
    </sheetView>
  </sheetViews>
  <sheetFormatPr defaultRowHeight="15" x14ac:dyDescent="0.25"/>
  <cols>
    <col min="1" max="1" width="20.28515625" style="277" bestFit="1" customWidth="1"/>
    <col min="2" max="2" width="9.5703125" style="277" bestFit="1" customWidth="1"/>
    <col min="3" max="3" width="76.7109375" style="277" customWidth="1"/>
    <col min="4" max="4" width="117.140625" style="277" customWidth="1"/>
    <col min="5" max="16384" width="9.140625" style="277"/>
  </cols>
  <sheetData>
    <row r="1" spans="1:4" x14ac:dyDescent="0.25">
      <c r="A1" s="277" t="s">
        <v>245</v>
      </c>
      <c r="B1" s="277" t="s">
        <v>244</v>
      </c>
      <c r="C1" s="277" t="s">
        <v>243</v>
      </c>
      <c r="D1" s="277" t="s">
        <v>242</v>
      </c>
    </row>
    <row r="2" spans="1:4" x14ac:dyDescent="0.25">
      <c r="A2" s="277" t="s">
        <v>241</v>
      </c>
      <c r="B2" s="277" t="b">
        <f ca="1">Result_Check_999</f>
        <v>0</v>
      </c>
      <c r="D2" s="278"/>
    </row>
    <row r="3" spans="1:4" x14ac:dyDescent="0.25">
      <c r="A3" s="277" t="s">
        <v>240</v>
      </c>
      <c r="C3" s="278" t="s">
        <v>475</v>
      </c>
    </row>
    <row r="4" spans="1:4" x14ac:dyDescent="0.25">
      <c r="A4" s="471" t="s">
        <v>170</v>
      </c>
      <c r="C4" s="295" t="str">
        <f>Subsidie_instrument</f>
        <v>[Maak een keuze]</v>
      </c>
    </row>
    <row r="5" spans="1:4" x14ac:dyDescent="0.25">
      <c r="A5" s="277" t="s">
        <v>239</v>
      </c>
      <c r="C5" s="290" t="str">
        <f>_xlfn.TEXTJOIN("; ",TRUE,Table_LuT_Deelnemers[Naam Organisatie])</f>
        <v/>
      </c>
    </row>
    <row r="6" spans="1:4" x14ac:dyDescent="0.25">
      <c r="A6" s="277" t="s">
        <v>238</v>
      </c>
      <c r="C6" s="290" t="str">
        <f>_xlfn.TEXTJOIN("; ",TRUE,Table_LuT_Deelnemers[KVK-nummer])</f>
        <v/>
      </c>
    </row>
  </sheetData>
  <sheetProtection algorithmName="SHA-512" hashValue="1/N8CtsRCsezpeAHROiKxKj/7grCuZfLgXe/4prrSfViI4JSkX6sSGiw2tOol8XUYR2LD5g/gIPtjL3Ymx5HYQ==" saltValue="qVrl/Rml2ws/r+QMRisIYA==" spinCount="100000" sheet="1" objects="1" scenarios="1"/>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5AD71-63BD-4EE5-8CFE-CFF06CF42F49}">
  <sheetPr codeName="Sheet22">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16</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16</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KV7HbVYQqPHgCb7au4H6WsShvuup1y32QZ3q/r8VkB+qfzZmt36JKcrqnfng8Wuoix9VDwAOv0/aOacb+NCPBw==" saltValue="pYEZ0TFd9bLgxXfcl80NpQ==" spinCount="100000" sheet="1" objects="1" scenarios="1" selectLockedCells="1"/>
  <mergeCells count="63">
    <mergeCell ref="B9:C9"/>
    <mergeCell ref="A11:C11"/>
    <mergeCell ref="D11:E11"/>
    <mergeCell ref="F11:G11"/>
    <mergeCell ref="H11:I11"/>
    <mergeCell ref="A33:B33"/>
    <mergeCell ref="A23:C23"/>
    <mergeCell ref="A24:C24"/>
    <mergeCell ref="A25:C25"/>
    <mergeCell ref="A28:C28"/>
    <mergeCell ref="H28:I28"/>
    <mergeCell ref="A29:B29"/>
    <mergeCell ref="A30:B30"/>
    <mergeCell ref="A31:B31"/>
    <mergeCell ref="A32:B32"/>
    <mergeCell ref="D28:E28"/>
    <mergeCell ref="F28:G28"/>
    <mergeCell ref="H43:I43"/>
    <mergeCell ref="A44:C44"/>
    <mergeCell ref="A34:B34"/>
    <mergeCell ref="A35:B35"/>
    <mergeCell ref="A36:B36"/>
    <mergeCell ref="A37:B37"/>
    <mergeCell ref="A38:B38"/>
    <mergeCell ref="A39:B39"/>
    <mergeCell ref="A50:C50"/>
    <mergeCell ref="A40:C40"/>
    <mergeCell ref="A43:C43"/>
    <mergeCell ref="D43:E43"/>
    <mergeCell ref="F43:G43"/>
    <mergeCell ref="A45:C45"/>
    <mergeCell ref="A46:C46"/>
    <mergeCell ref="A47:C47"/>
    <mergeCell ref="A48:C48"/>
    <mergeCell ref="A49:C49"/>
    <mergeCell ref="A51:C51"/>
    <mergeCell ref="A52:C52"/>
    <mergeCell ref="A53:C53"/>
    <mergeCell ref="A54:C54"/>
    <mergeCell ref="A55:C55"/>
    <mergeCell ref="A67:C67"/>
    <mergeCell ref="D58:E58"/>
    <mergeCell ref="F58:G58"/>
    <mergeCell ref="H58:I58"/>
    <mergeCell ref="A59:C59"/>
    <mergeCell ref="A60:C60"/>
    <mergeCell ref="A61:C61"/>
    <mergeCell ref="A58:C58"/>
    <mergeCell ref="A62:C62"/>
    <mergeCell ref="A63:C63"/>
    <mergeCell ref="A64:C64"/>
    <mergeCell ref="A65:C65"/>
    <mergeCell ref="A66:C66"/>
    <mergeCell ref="H73:I73"/>
    <mergeCell ref="A74:C74"/>
    <mergeCell ref="A75:C75"/>
    <mergeCell ref="A76:C76"/>
    <mergeCell ref="A68:C68"/>
    <mergeCell ref="A69:C69"/>
    <mergeCell ref="A70:C70"/>
    <mergeCell ref="A73:C73"/>
    <mergeCell ref="D73:E73"/>
    <mergeCell ref="F73:G73"/>
  </mergeCells>
  <dataValidations count="1">
    <dataValidation type="list" allowBlank="1" showInputMessage="1" showErrorMessage="1" sqref="B9" xr:uid="{EA7DE6CD-524E-4497-AC92-22A4B60B3778}">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6121F-23BB-47C6-AD9A-66E471410DCD}">
  <sheetPr codeName="Sheet23">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17</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17</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lnB+MHzO2pPp/jFRxiJsvge7wBLPkRivOmGuM03HqFdun8AUI1MDSheCK9ZmJofMg1l2lGLSiOjPaRiYfTTEGA==" saltValue="+4zbkuk1PGFOinNmChtqdg==" spinCount="100000" sheet="1" objects="1" scenarios="1" selectLockedCells="1"/>
  <mergeCells count="63">
    <mergeCell ref="B9:C9"/>
    <mergeCell ref="A11:C11"/>
    <mergeCell ref="D11:E11"/>
    <mergeCell ref="F11:G11"/>
    <mergeCell ref="H11:I11"/>
    <mergeCell ref="A33:B33"/>
    <mergeCell ref="A23:C23"/>
    <mergeCell ref="A24:C24"/>
    <mergeCell ref="A25:C25"/>
    <mergeCell ref="A28:C28"/>
    <mergeCell ref="H28:I28"/>
    <mergeCell ref="A29:B29"/>
    <mergeCell ref="A30:B30"/>
    <mergeCell ref="A31:B31"/>
    <mergeCell ref="A32:B32"/>
    <mergeCell ref="D28:E28"/>
    <mergeCell ref="F28:G28"/>
    <mergeCell ref="H43:I43"/>
    <mergeCell ref="A44:C44"/>
    <mergeCell ref="A34:B34"/>
    <mergeCell ref="A35:B35"/>
    <mergeCell ref="A36:B36"/>
    <mergeCell ref="A37:B37"/>
    <mergeCell ref="A38:B38"/>
    <mergeCell ref="A39:B39"/>
    <mergeCell ref="A50:C50"/>
    <mergeCell ref="A40:C40"/>
    <mergeCell ref="A43:C43"/>
    <mergeCell ref="D43:E43"/>
    <mergeCell ref="F43:G43"/>
    <mergeCell ref="A45:C45"/>
    <mergeCell ref="A46:C46"/>
    <mergeCell ref="A47:C47"/>
    <mergeCell ref="A48:C48"/>
    <mergeCell ref="A49:C49"/>
    <mergeCell ref="A51:C51"/>
    <mergeCell ref="A52:C52"/>
    <mergeCell ref="A53:C53"/>
    <mergeCell ref="A54:C54"/>
    <mergeCell ref="A55:C55"/>
    <mergeCell ref="A67:C67"/>
    <mergeCell ref="D58:E58"/>
    <mergeCell ref="F58:G58"/>
    <mergeCell ref="H58:I58"/>
    <mergeCell ref="A59:C59"/>
    <mergeCell ref="A60:C60"/>
    <mergeCell ref="A61:C61"/>
    <mergeCell ref="A58:C58"/>
    <mergeCell ref="A62:C62"/>
    <mergeCell ref="A63:C63"/>
    <mergeCell ref="A64:C64"/>
    <mergeCell ref="A65:C65"/>
    <mergeCell ref="A66:C66"/>
    <mergeCell ref="H73:I73"/>
    <mergeCell ref="A74:C74"/>
    <mergeCell ref="A75:C75"/>
    <mergeCell ref="A76:C76"/>
    <mergeCell ref="A68:C68"/>
    <mergeCell ref="A69:C69"/>
    <mergeCell ref="A70:C70"/>
    <mergeCell ref="A73:C73"/>
    <mergeCell ref="D73:E73"/>
    <mergeCell ref="F73:G73"/>
  </mergeCells>
  <dataValidations count="1">
    <dataValidation type="list" allowBlank="1" showInputMessage="1" showErrorMessage="1" sqref="B9" xr:uid="{F0ADB080-272E-4547-85D7-873B18DFA858}">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4C37F-BE07-465D-B990-4C62034320A0}">
  <sheetPr codeName="Sheet24">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18</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18</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YBevfHFQwaTdf3nX6HPiDNi9UomCOFX9Lu04URmedwzoi/ota91mhUx96LGmMtYgpnha4DTup/mme767QJ2r7Q==" saltValue="HPTZRGXGo8JYz941R8+mlQ==" spinCount="100000" sheet="1" objects="1" scenarios="1" selectLockedCells="1"/>
  <mergeCells count="63">
    <mergeCell ref="B9:C9"/>
    <mergeCell ref="A11:C11"/>
    <mergeCell ref="D11:E11"/>
    <mergeCell ref="F11:G11"/>
    <mergeCell ref="H11:I11"/>
    <mergeCell ref="A33:B33"/>
    <mergeCell ref="A23:C23"/>
    <mergeCell ref="A24:C24"/>
    <mergeCell ref="A25:C25"/>
    <mergeCell ref="A28:C28"/>
    <mergeCell ref="H28:I28"/>
    <mergeCell ref="A29:B29"/>
    <mergeCell ref="A30:B30"/>
    <mergeCell ref="A31:B31"/>
    <mergeCell ref="A32:B32"/>
    <mergeCell ref="D28:E28"/>
    <mergeCell ref="F28:G28"/>
    <mergeCell ref="H43:I43"/>
    <mergeCell ref="A44:C44"/>
    <mergeCell ref="A34:B34"/>
    <mergeCell ref="A35:B35"/>
    <mergeCell ref="A36:B36"/>
    <mergeCell ref="A37:B37"/>
    <mergeCell ref="A38:B38"/>
    <mergeCell ref="A39:B39"/>
    <mergeCell ref="A50:C50"/>
    <mergeCell ref="A40:C40"/>
    <mergeCell ref="A43:C43"/>
    <mergeCell ref="D43:E43"/>
    <mergeCell ref="F43:G43"/>
    <mergeCell ref="A45:C45"/>
    <mergeCell ref="A46:C46"/>
    <mergeCell ref="A47:C47"/>
    <mergeCell ref="A48:C48"/>
    <mergeCell ref="A49:C49"/>
    <mergeCell ref="A51:C51"/>
    <mergeCell ref="A52:C52"/>
    <mergeCell ref="A53:C53"/>
    <mergeCell ref="A54:C54"/>
    <mergeCell ref="A55:C55"/>
    <mergeCell ref="A67:C67"/>
    <mergeCell ref="D58:E58"/>
    <mergeCell ref="F58:G58"/>
    <mergeCell ref="H58:I58"/>
    <mergeCell ref="A59:C59"/>
    <mergeCell ref="A60:C60"/>
    <mergeCell ref="A61:C61"/>
    <mergeCell ref="A58:C58"/>
    <mergeCell ref="A62:C62"/>
    <mergeCell ref="A63:C63"/>
    <mergeCell ref="A64:C64"/>
    <mergeCell ref="A65:C65"/>
    <mergeCell ref="A66:C66"/>
    <mergeCell ref="H73:I73"/>
    <mergeCell ref="A74:C74"/>
    <mergeCell ref="A75:C75"/>
    <mergeCell ref="A76:C76"/>
    <mergeCell ref="A68:C68"/>
    <mergeCell ref="A69:C69"/>
    <mergeCell ref="A70:C70"/>
    <mergeCell ref="A73:C73"/>
    <mergeCell ref="D73:E73"/>
    <mergeCell ref="F73:G73"/>
  </mergeCells>
  <dataValidations count="1">
    <dataValidation type="list" allowBlank="1" showInputMessage="1" showErrorMessage="1" sqref="B9" xr:uid="{50725695-EA2F-48DC-B4C6-BA1DC2E2CAA3}">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17FFE-71ED-456B-9B38-FF92BCDB24BD}">
  <sheetPr codeName="Sheet25">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19</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19</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xlOBwlZ4PstkFig0KqWvwH+Wq+3uYNgrE5117ciQYg9E/mCDKcc1BEWFVCzG0Z6PQDL1JicBsjl6vUX0puDlKw==" saltValue="ByMSCULf9hDJVgm+m7r6lw==" spinCount="100000" sheet="1" objects="1" scenarios="1" selectLockedCells="1"/>
  <mergeCells count="63">
    <mergeCell ref="B9:C9"/>
    <mergeCell ref="A11:C11"/>
    <mergeCell ref="D11:E11"/>
    <mergeCell ref="F11:G11"/>
    <mergeCell ref="H11:I11"/>
    <mergeCell ref="A33:B33"/>
    <mergeCell ref="A23:C23"/>
    <mergeCell ref="A24:C24"/>
    <mergeCell ref="A25:C25"/>
    <mergeCell ref="A28:C28"/>
    <mergeCell ref="H28:I28"/>
    <mergeCell ref="A29:B29"/>
    <mergeCell ref="A30:B30"/>
    <mergeCell ref="A31:B31"/>
    <mergeCell ref="A32:B32"/>
    <mergeCell ref="D28:E28"/>
    <mergeCell ref="F28:G28"/>
    <mergeCell ref="H43:I43"/>
    <mergeCell ref="A44:C44"/>
    <mergeCell ref="A34:B34"/>
    <mergeCell ref="A35:B35"/>
    <mergeCell ref="A36:B36"/>
    <mergeCell ref="A37:B37"/>
    <mergeCell ref="A38:B38"/>
    <mergeCell ref="A39:B39"/>
    <mergeCell ref="A50:C50"/>
    <mergeCell ref="A40:C40"/>
    <mergeCell ref="A43:C43"/>
    <mergeCell ref="D43:E43"/>
    <mergeCell ref="F43:G43"/>
    <mergeCell ref="A45:C45"/>
    <mergeCell ref="A46:C46"/>
    <mergeCell ref="A47:C47"/>
    <mergeCell ref="A48:C48"/>
    <mergeCell ref="A49:C49"/>
    <mergeCell ref="A51:C51"/>
    <mergeCell ref="A52:C52"/>
    <mergeCell ref="A53:C53"/>
    <mergeCell ref="A54:C54"/>
    <mergeCell ref="A55:C55"/>
    <mergeCell ref="A67:C67"/>
    <mergeCell ref="D58:E58"/>
    <mergeCell ref="F58:G58"/>
    <mergeCell ref="H58:I58"/>
    <mergeCell ref="A59:C59"/>
    <mergeCell ref="A60:C60"/>
    <mergeCell ref="A61:C61"/>
    <mergeCell ref="A58:C58"/>
    <mergeCell ref="A62:C62"/>
    <mergeCell ref="A63:C63"/>
    <mergeCell ref="A64:C64"/>
    <mergeCell ref="A65:C65"/>
    <mergeCell ref="A66:C66"/>
    <mergeCell ref="H73:I73"/>
    <mergeCell ref="A74:C74"/>
    <mergeCell ref="A75:C75"/>
    <mergeCell ref="A76:C76"/>
    <mergeCell ref="A68:C68"/>
    <mergeCell ref="A69:C69"/>
    <mergeCell ref="A70:C70"/>
    <mergeCell ref="A73:C73"/>
    <mergeCell ref="D73:E73"/>
    <mergeCell ref="F73:G73"/>
  </mergeCells>
  <dataValidations count="1">
    <dataValidation type="list" allowBlank="1" showInputMessage="1" showErrorMessage="1" sqref="B9" xr:uid="{C6CD7CB8-1B4A-4218-8B46-110FF7320AFA}">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B9210-C76C-44BA-B344-22F0ABF701E5}">
  <sheetPr codeName="Sheet26">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20</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20</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ReEiFH+e0m2kJS3ezMujhqAQonks97446qytGgM33JtxEioiTTIygOGJefbkBN9rvT5cvLf36ShdmNtT1H+6mQ==" saltValue="LZOGziqn8GqiYj0hljh+5w==" spinCount="100000" sheet="1" objects="1" scenarios="1" selectLockedCells="1"/>
  <mergeCells count="63">
    <mergeCell ref="B9:C9"/>
    <mergeCell ref="A11:C11"/>
    <mergeCell ref="D11:E11"/>
    <mergeCell ref="F11:G11"/>
    <mergeCell ref="H11:I11"/>
    <mergeCell ref="A33:B33"/>
    <mergeCell ref="A23:C23"/>
    <mergeCell ref="A24:C24"/>
    <mergeCell ref="A25:C25"/>
    <mergeCell ref="A28:C28"/>
    <mergeCell ref="H28:I28"/>
    <mergeCell ref="A29:B29"/>
    <mergeCell ref="A30:B30"/>
    <mergeCell ref="A31:B31"/>
    <mergeCell ref="A32:B32"/>
    <mergeCell ref="D28:E28"/>
    <mergeCell ref="F28:G28"/>
    <mergeCell ref="H43:I43"/>
    <mergeCell ref="A44:C44"/>
    <mergeCell ref="A34:B34"/>
    <mergeCell ref="A35:B35"/>
    <mergeCell ref="A36:B36"/>
    <mergeCell ref="A37:B37"/>
    <mergeCell ref="A38:B38"/>
    <mergeCell ref="A39:B39"/>
    <mergeCell ref="A50:C50"/>
    <mergeCell ref="A40:C40"/>
    <mergeCell ref="A43:C43"/>
    <mergeCell ref="D43:E43"/>
    <mergeCell ref="F43:G43"/>
    <mergeCell ref="A45:C45"/>
    <mergeCell ref="A46:C46"/>
    <mergeCell ref="A47:C47"/>
    <mergeCell ref="A48:C48"/>
    <mergeCell ref="A49:C49"/>
    <mergeCell ref="A51:C51"/>
    <mergeCell ref="A52:C52"/>
    <mergeCell ref="A53:C53"/>
    <mergeCell ref="A54:C54"/>
    <mergeCell ref="A55:C55"/>
    <mergeCell ref="A67:C67"/>
    <mergeCell ref="D58:E58"/>
    <mergeCell ref="F58:G58"/>
    <mergeCell ref="H58:I58"/>
    <mergeCell ref="A59:C59"/>
    <mergeCell ref="A60:C60"/>
    <mergeCell ref="A61:C61"/>
    <mergeCell ref="A58:C58"/>
    <mergeCell ref="A62:C62"/>
    <mergeCell ref="A63:C63"/>
    <mergeCell ref="A64:C64"/>
    <mergeCell ref="A65:C65"/>
    <mergeCell ref="A66:C66"/>
    <mergeCell ref="H73:I73"/>
    <mergeCell ref="A74:C74"/>
    <mergeCell ref="A75:C75"/>
    <mergeCell ref="A76:C76"/>
    <mergeCell ref="A68:C68"/>
    <mergeCell ref="A69:C69"/>
    <mergeCell ref="A70:C70"/>
    <mergeCell ref="A73:C73"/>
    <mergeCell ref="D73:E73"/>
    <mergeCell ref="F73:G73"/>
  </mergeCells>
  <dataValidations count="1">
    <dataValidation type="list" allowBlank="1" showInputMessage="1" showErrorMessage="1" sqref="B9" xr:uid="{D621F720-35CA-4A51-A3CB-5C8AA89D397E}">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E3604-0FD0-4048-977C-7AB6092416B8}">
  <sheetPr codeName="Sheet8">
    <pageSetUpPr fitToPage="1"/>
  </sheetPr>
  <dimension ref="A1:J26"/>
  <sheetViews>
    <sheetView zoomScale="85" zoomScaleNormal="85" workbookViewId="0">
      <selection activeCell="A7" sqref="A7"/>
    </sheetView>
  </sheetViews>
  <sheetFormatPr defaultColWidth="9.140625" defaultRowHeight="15" customHeight="1" x14ac:dyDescent="0.2"/>
  <cols>
    <col min="1" max="1" width="29.140625" style="45" customWidth="1"/>
    <col min="2" max="2" width="45.7109375" style="45" customWidth="1"/>
    <col min="3" max="3" width="90.7109375" style="45" customWidth="1"/>
    <col min="4" max="9" width="12.7109375" style="45" customWidth="1"/>
    <col min="10" max="16384" width="9.140625" style="45"/>
  </cols>
  <sheetData>
    <row r="1" spans="1:10" ht="30" x14ac:dyDescent="0.4">
      <c r="A1" s="21" t="s">
        <v>11</v>
      </c>
    </row>
    <row r="2" spans="1:10" ht="15" customHeight="1" x14ac:dyDescent="0.2">
      <c r="A2" s="45" t="s">
        <v>12</v>
      </c>
      <c r="B2" s="46"/>
      <c r="C2" s="46"/>
    </row>
    <row r="3" spans="1:10" ht="15" customHeight="1" thickBot="1" x14ac:dyDescent="0.25">
      <c r="A3"/>
      <c r="B3"/>
      <c r="C3"/>
    </row>
    <row r="4" spans="1:10" ht="15" customHeight="1" thickBot="1" x14ac:dyDescent="0.25">
      <c r="A4" s="34" t="s">
        <v>10</v>
      </c>
      <c r="B4" s="163" t="str">
        <f>IF(ISBLANK(Projectacroniem),"",Projectacroniem)</f>
        <v/>
      </c>
      <c r="C4" s="47"/>
    </row>
    <row r="5" spans="1:10" ht="15" customHeight="1" thickBot="1" x14ac:dyDescent="0.25">
      <c r="A5" s="46"/>
      <c r="B5" s="46"/>
      <c r="C5" s="46"/>
      <c r="D5" s="46"/>
      <c r="E5" s="46"/>
      <c r="F5" s="46"/>
      <c r="G5" s="46"/>
      <c r="H5" s="46"/>
    </row>
    <row r="6" spans="1:10" s="169" customFormat="1" ht="39" thickBot="1" x14ac:dyDescent="0.25">
      <c r="A6" s="164" t="s">
        <v>46</v>
      </c>
      <c r="B6" s="165" t="s">
        <v>51</v>
      </c>
      <c r="C6" s="166" t="s">
        <v>52</v>
      </c>
      <c r="D6" s="166" t="s">
        <v>16</v>
      </c>
      <c r="E6" s="166" t="s">
        <v>17</v>
      </c>
      <c r="F6" s="166" t="s">
        <v>13</v>
      </c>
      <c r="G6" s="166" t="s">
        <v>14</v>
      </c>
      <c r="H6" s="166" t="s">
        <v>18</v>
      </c>
      <c r="I6" s="167" t="s">
        <v>15</v>
      </c>
      <c r="J6" s="168"/>
    </row>
    <row r="7" spans="1:10" ht="15" customHeight="1" x14ac:dyDescent="0.2">
      <c r="A7" s="170" t="s">
        <v>19</v>
      </c>
      <c r="B7" s="171" t="str">
        <f>_xlfn.XLOOKUP($A7,Table_LuT_Deelnemers[ID Deelnemer],Table_LuT_Deelnemers[Naam Organisatie],"",0,1)</f>
        <v/>
      </c>
      <c r="C7" s="172"/>
      <c r="D7" s="173"/>
      <c r="E7" s="174"/>
      <c r="F7" s="174"/>
      <c r="G7" s="174"/>
      <c r="H7" s="15"/>
      <c r="I7" s="175"/>
      <c r="J7" s="47"/>
    </row>
    <row r="8" spans="1:10" ht="15" customHeight="1" x14ac:dyDescent="0.2">
      <c r="A8" s="49" t="s">
        <v>19</v>
      </c>
      <c r="B8" s="176" t="str">
        <f>_xlfn.XLOOKUP($A8,Table_LuT_Deelnemers[ID Deelnemer],Table_LuT_Deelnemers[Naam Organisatie],"",0,1)</f>
        <v/>
      </c>
      <c r="C8" s="177"/>
      <c r="D8" s="178"/>
      <c r="E8" s="179"/>
      <c r="F8" s="179"/>
      <c r="G8" s="179"/>
      <c r="H8" s="16"/>
      <c r="I8" s="180"/>
      <c r="J8" s="47"/>
    </row>
    <row r="9" spans="1:10" ht="15" customHeight="1" x14ac:dyDescent="0.2">
      <c r="A9" s="49" t="s">
        <v>19</v>
      </c>
      <c r="B9" s="176" t="str">
        <f>_xlfn.XLOOKUP($A9,Table_LuT_Deelnemers[ID Deelnemer],Table_LuT_Deelnemers[Naam Organisatie],"",0,1)</f>
        <v/>
      </c>
      <c r="C9" s="177"/>
      <c r="D9" s="178"/>
      <c r="E9" s="179"/>
      <c r="F9" s="179"/>
      <c r="G9" s="179"/>
      <c r="H9" s="16"/>
      <c r="I9" s="180"/>
      <c r="J9" s="47"/>
    </row>
    <row r="10" spans="1:10" ht="15" customHeight="1" x14ac:dyDescent="0.2">
      <c r="A10" s="49" t="s">
        <v>19</v>
      </c>
      <c r="B10" s="176" t="str">
        <f>_xlfn.XLOOKUP($A10,Table_LuT_Deelnemers[ID Deelnemer],Table_LuT_Deelnemers[Naam Organisatie],"",0,1)</f>
        <v/>
      </c>
      <c r="C10" s="177"/>
      <c r="D10" s="178"/>
      <c r="E10" s="179"/>
      <c r="F10" s="179"/>
      <c r="G10" s="179"/>
      <c r="H10" s="16"/>
      <c r="I10" s="180"/>
      <c r="J10" s="47"/>
    </row>
    <row r="11" spans="1:10" ht="15" customHeight="1" x14ac:dyDescent="0.2">
      <c r="A11" s="49" t="s">
        <v>19</v>
      </c>
      <c r="B11" s="176" t="str">
        <f>_xlfn.XLOOKUP($A11,Table_LuT_Deelnemers[ID Deelnemer],Table_LuT_Deelnemers[Naam Organisatie],"",0,1)</f>
        <v/>
      </c>
      <c r="C11" s="177"/>
      <c r="D11" s="178"/>
      <c r="E11" s="179"/>
      <c r="F11" s="179"/>
      <c r="G11" s="179"/>
      <c r="H11" s="16"/>
      <c r="I11" s="180"/>
      <c r="J11" s="47"/>
    </row>
    <row r="12" spans="1:10" ht="15" customHeight="1" x14ac:dyDescent="0.2">
      <c r="A12" s="49" t="s">
        <v>19</v>
      </c>
      <c r="B12" s="176" t="str">
        <f>_xlfn.XLOOKUP($A12,Table_LuT_Deelnemers[ID Deelnemer],Table_LuT_Deelnemers[Naam Organisatie],"",0,1)</f>
        <v/>
      </c>
      <c r="C12" s="177"/>
      <c r="D12" s="178"/>
      <c r="E12" s="179"/>
      <c r="F12" s="179"/>
      <c r="G12" s="179"/>
      <c r="H12" s="16"/>
      <c r="I12" s="180"/>
      <c r="J12" s="47"/>
    </row>
    <row r="13" spans="1:10" ht="15" customHeight="1" x14ac:dyDescent="0.2">
      <c r="A13" s="49" t="s">
        <v>19</v>
      </c>
      <c r="B13" s="176" t="str">
        <f>_xlfn.XLOOKUP($A13,Table_LuT_Deelnemers[ID Deelnemer],Table_LuT_Deelnemers[Naam Organisatie],"",0,1)</f>
        <v/>
      </c>
      <c r="C13" s="177"/>
      <c r="D13" s="178"/>
      <c r="E13" s="179"/>
      <c r="F13" s="179"/>
      <c r="G13" s="179"/>
      <c r="H13" s="16"/>
      <c r="I13" s="180"/>
      <c r="J13" s="47"/>
    </row>
    <row r="14" spans="1:10" ht="15" customHeight="1" x14ac:dyDescent="0.2">
      <c r="A14" s="49" t="s">
        <v>19</v>
      </c>
      <c r="B14" s="176" t="str">
        <f>_xlfn.XLOOKUP($A14,Table_LuT_Deelnemers[ID Deelnemer],Table_LuT_Deelnemers[Naam Organisatie],"",0,1)</f>
        <v/>
      </c>
      <c r="C14" s="177"/>
      <c r="D14" s="178"/>
      <c r="E14" s="179"/>
      <c r="F14" s="179"/>
      <c r="G14" s="179"/>
      <c r="H14" s="16"/>
      <c r="I14" s="180"/>
      <c r="J14" s="47"/>
    </row>
    <row r="15" spans="1:10" ht="15" customHeight="1" x14ac:dyDescent="0.2">
      <c r="A15" s="49" t="s">
        <v>19</v>
      </c>
      <c r="B15" s="176" t="str">
        <f>_xlfn.XLOOKUP($A15,Table_LuT_Deelnemers[ID Deelnemer],Table_LuT_Deelnemers[Naam Organisatie],"",0,1)</f>
        <v/>
      </c>
      <c r="C15" s="177"/>
      <c r="D15" s="178"/>
      <c r="E15" s="179"/>
      <c r="F15" s="179"/>
      <c r="G15" s="179"/>
      <c r="H15" s="16"/>
      <c r="I15" s="180"/>
      <c r="J15" s="47"/>
    </row>
    <row r="16" spans="1:10" ht="15" customHeight="1" x14ac:dyDescent="0.2">
      <c r="A16" s="49" t="s">
        <v>19</v>
      </c>
      <c r="B16" s="176" t="str">
        <f>_xlfn.XLOOKUP($A16,Table_LuT_Deelnemers[ID Deelnemer],Table_LuT_Deelnemers[Naam Organisatie],"",0,1)</f>
        <v/>
      </c>
      <c r="C16" s="177"/>
      <c r="D16" s="178"/>
      <c r="E16" s="179"/>
      <c r="F16" s="179"/>
      <c r="G16" s="179"/>
      <c r="H16" s="16"/>
      <c r="I16" s="180"/>
      <c r="J16" s="47"/>
    </row>
    <row r="17" spans="1:10" ht="15" customHeight="1" x14ac:dyDescent="0.2">
      <c r="A17" s="49" t="s">
        <v>19</v>
      </c>
      <c r="B17" s="176" t="str">
        <f>_xlfn.XLOOKUP($A17,Table_LuT_Deelnemers[ID Deelnemer],Table_LuT_Deelnemers[Naam Organisatie],"",0,1)</f>
        <v/>
      </c>
      <c r="C17" s="177"/>
      <c r="D17" s="178"/>
      <c r="E17" s="179"/>
      <c r="F17" s="179"/>
      <c r="G17" s="179"/>
      <c r="H17" s="16"/>
      <c r="I17" s="180"/>
      <c r="J17" s="47"/>
    </row>
    <row r="18" spans="1:10" ht="15" customHeight="1" x14ac:dyDescent="0.2">
      <c r="A18" s="49" t="s">
        <v>19</v>
      </c>
      <c r="B18" s="176" t="str">
        <f>_xlfn.XLOOKUP($A18,Table_LuT_Deelnemers[ID Deelnemer],Table_LuT_Deelnemers[Naam Organisatie],"",0,1)</f>
        <v/>
      </c>
      <c r="C18" s="177"/>
      <c r="D18" s="178"/>
      <c r="E18" s="179"/>
      <c r="F18" s="179"/>
      <c r="G18" s="179"/>
      <c r="H18" s="16"/>
      <c r="I18" s="180"/>
      <c r="J18" s="47"/>
    </row>
    <row r="19" spans="1:10" ht="15" customHeight="1" x14ac:dyDescent="0.2">
      <c r="A19" s="49" t="s">
        <v>19</v>
      </c>
      <c r="B19" s="176" t="str">
        <f>_xlfn.XLOOKUP($A19,Table_LuT_Deelnemers[ID Deelnemer],Table_LuT_Deelnemers[Naam Organisatie],"",0,1)</f>
        <v/>
      </c>
      <c r="C19" s="177"/>
      <c r="D19" s="178"/>
      <c r="E19" s="179"/>
      <c r="F19" s="179"/>
      <c r="G19" s="179"/>
      <c r="H19" s="16"/>
      <c r="I19" s="180"/>
      <c r="J19" s="47"/>
    </row>
    <row r="20" spans="1:10" ht="15" customHeight="1" x14ac:dyDescent="0.2">
      <c r="A20" s="49" t="s">
        <v>19</v>
      </c>
      <c r="B20" s="176" t="str">
        <f>_xlfn.XLOOKUP($A20,Table_LuT_Deelnemers[ID Deelnemer],Table_LuT_Deelnemers[Naam Organisatie],"",0,1)</f>
        <v/>
      </c>
      <c r="C20" s="177"/>
      <c r="D20" s="178"/>
      <c r="E20" s="179"/>
      <c r="F20" s="179"/>
      <c r="G20" s="179"/>
      <c r="H20" s="16"/>
      <c r="I20" s="180"/>
      <c r="J20" s="47"/>
    </row>
    <row r="21" spans="1:10" ht="15" customHeight="1" x14ac:dyDescent="0.2">
      <c r="A21" s="49" t="s">
        <v>19</v>
      </c>
      <c r="B21" s="176" t="str">
        <f>_xlfn.XLOOKUP($A21,Table_LuT_Deelnemers[ID Deelnemer],Table_LuT_Deelnemers[Naam Organisatie],"",0,1)</f>
        <v/>
      </c>
      <c r="C21" s="177"/>
      <c r="D21" s="178"/>
      <c r="E21" s="179"/>
      <c r="F21" s="179"/>
      <c r="G21" s="179"/>
      <c r="H21" s="16"/>
      <c r="I21" s="180"/>
      <c r="J21" s="47"/>
    </row>
    <row r="22" spans="1:10" ht="15" customHeight="1" x14ac:dyDescent="0.2">
      <c r="A22" s="49" t="s">
        <v>19</v>
      </c>
      <c r="B22" s="176" t="str">
        <f>_xlfn.XLOOKUP($A22,Table_LuT_Deelnemers[ID Deelnemer],Table_LuT_Deelnemers[Naam Organisatie],"",0,1)</f>
        <v/>
      </c>
      <c r="C22" s="177"/>
      <c r="D22" s="178"/>
      <c r="E22" s="179"/>
      <c r="F22" s="179"/>
      <c r="G22" s="179"/>
      <c r="H22" s="16"/>
      <c r="I22" s="180"/>
      <c r="J22" s="47"/>
    </row>
    <row r="23" spans="1:10" ht="15" customHeight="1" x14ac:dyDescent="0.2">
      <c r="A23" s="49" t="s">
        <v>19</v>
      </c>
      <c r="B23" s="176" t="str">
        <f>_xlfn.XLOOKUP($A23,Table_LuT_Deelnemers[ID Deelnemer],Table_LuT_Deelnemers[Naam Organisatie],"",0,1)</f>
        <v/>
      </c>
      <c r="C23" s="177"/>
      <c r="D23" s="178"/>
      <c r="E23" s="179"/>
      <c r="F23" s="179"/>
      <c r="G23" s="179"/>
      <c r="H23" s="16"/>
      <c r="I23" s="180"/>
      <c r="J23" s="47"/>
    </row>
    <row r="24" spans="1:10" ht="15" customHeight="1" thickBot="1" x14ac:dyDescent="0.25">
      <c r="A24" s="54" t="s">
        <v>19</v>
      </c>
      <c r="B24" s="181" t="str">
        <f>_xlfn.XLOOKUP($A24,Table_LuT_Deelnemers[ID Deelnemer],Table_LuT_Deelnemers[Naam Organisatie],"",0,1)</f>
        <v/>
      </c>
      <c r="C24" s="182"/>
      <c r="D24" s="183"/>
      <c r="E24" s="184"/>
      <c r="F24" s="184"/>
      <c r="G24" s="184"/>
      <c r="H24" s="17"/>
      <c r="I24" s="185"/>
      <c r="J24" s="47"/>
    </row>
    <row r="25" spans="1:10" s="44" customFormat="1" ht="15" customHeight="1" thickBot="1" x14ac:dyDescent="0.25">
      <c r="A25" s="186" t="s">
        <v>20</v>
      </c>
      <c r="B25" s="187"/>
      <c r="C25" s="188"/>
      <c r="D25" s="188"/>
      <c r="E25" s="188"/>
      <c r="F25" s="188"/>
      <c r="G25" s="188"/>
      <c r="H25" s="189"/>
      <c r="I25" s="82">
        <f>SUBTOTAL(9,I7:I24)</f>
        <v>0</v>
      </c>
      <c r="J25" s="43"/>
    </row>
    <row r="26" spans="1:10" ht="15" customHeight="1" x14ac:dyDescent="0.2">
      <c r="A26" s="66"/>
      <c r="B26" s="66"/>
      <c r="C26" s="66"/>
      <c r="D26" s="66"/>
      <c r="E26" s="66"/>
      <c r="F26" s="66"/>
      <c r="G26" s="66"/>
      <c r="H26" s="66"/>
    </row>
  </sheetData>
  <sheetProtection algorithmName="SHA-512" hashValue="kPhiPnIzyWusnbgQafjah8SIEe+SXzRUy3+5gLowGJ1seLn0Box/z9ueYuQscB0y5Tsw9tuKZUCMpRBJ1qchag==" saltValue="xxYRBjYDkN1inxJ5Zn9UHg==" spinCount="100000" sheet="1" objects="1" scenarios="1" selectLockedCells="1"/>
  <dataValidations count="1">
    <dataValidation type="list" allowBlank="1" showInputMessage="1" showErrorMessage="1" sqref="A7:A24" xr:uid="{F461729D-1264-4867-95D7-54BB08B23D97}">
      <formula1>ValList_Deelnemers</formula1>
    </dataValidation>
  </dataValidations>
  <printOptions gridLines="1"/>
  <pageMargins left="0.74803149606299213" right="0.74803149606299213" top="0.98425196850393704" bottom="0.98425196850393704" header="0.51181102362204722" footer="0.51181102362204722"/>
  <pageSetup paperSize="9" scale="49" orientation="portrait" horizontalDpi="4294967292" verticalDpi="300" r:id="rId1"/>
  <headerFooter alignWithMargins="0">
    <oddFooter>&amp;L&amp;8Erna Olislaegers
&amp;D at &amp;T&amp;C&amp;8&amp;P/&amp;N&amp;R&amp;8File: &amp;F
Sheet: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9B346-E0C4-43C9-AA05-B2ED63F0C049}">
  <sheetPr codeName="Sheet53">
    <tabColor theme="9"/>
    <pageSetUpPr fitToPage="1"/>
  </sheetPr>
  <dimension ref="A1:G38"/>
  <sheetViews>
    <sheetView zoomScale="85" zoomScaleNormal="85" workbookViewId="0">
      <pane ySplit="1" topLeftCell="A2" activePane="bottomLeft" state="frozen"/>
      <selection activeCell="A2" sqref="A2"/>
      <selection pane="bottomLeft" activeCell="A2" sqref="A2"/>
    </sheetView>
  </sheetViews>
  <sheetFormatPr defaultRowHeight="15" customHeight="1" x14ac:dyDescent="0.2"/>
  <cols>
    <col min="1" max="1" width="12.7109375" style="313" customWidth="1"/>
    <col min="2" max="2" width="137.140625" style="313" bestFit="1" customWidth="1"/>
    <col min="3" max="4" width="12.7109375" style="312" customWidth="1"/>
    <col min="5" max="5" width="12.7109375" style="313" customWidth="1"/>
    <col min="6" max="6" width="137.140625" style="313" bestFit="1" customWidth="1"/>
    <col min="7" max="7" width="60.140625" style="313" bestFit="1" customWidth="1"/>
    <col min="8" max="16384" width="9.140625" style="312"/>
  </cols>
  <sheetData>
    <row r="1" spans="1:7" ht="15" customHeight="1" x14ac:dyDescent="0.2">
      <c r="A1" s="313" t="s">
        <v>110</v>
      </c>
      <c r="B1" s="302" t="s">
        <v>256</v>
      </c>
      <c r="C1" s="301" t="s">
        <v>257</v>
      </c>
      <c r="D1" s="301" t="s">
        <v>258</v>
      </c>
      <c r="E1" s="356" t="s">
        <v>281</v>
      </c>
      <c r="F1" s="303" t="s">
        <v>111</v>
      </c>
      <c r="G1" s="302" t="s">
        <v>245</v>
      </c>
    </row>
    <row r="2" spans="1:7" ht="15" customHeight="1" x14ac:dyDescent="0.2">
      <c r="A2" s="302" t="s">
        <v>354</v>
      </c>
      <c r="B2" s="302" t="s">
        <v>259</v>
      </c>
      <c r="C2" s="301"/>
      <c r="D2" s="354"/>
      <c r="E2" s="357"/>
      <c r="F2" s="303" t="str">
        <f>_xlfn.TEXTJOIN(" ",TRUE,Table_Foutmeldingen[[#This Row],[Foutmelding - deel 1]:[Foutmelding - deel 3]])</f>
        <v>FOUT: Vul eerste een Subsidie-instrument, een Projecttitel en een Projectacroniem in!</v>
      </c>
      <c r="G2" s="302"/>
    </row>
    <row r="3" spans="1:7" ht="15" customHeight="1" x14ac:dyDescent="0.2">
      <c r="A3" s="302" t="s">
        <v>355</v>
      </c>
      <c r="B3" s="302" t="s">
        <v>390</v>
      </c>
      <c r="C3" s="301"/>
      <c r="D3" s="354"/>
      <c r="E3" s="357"/>
      <c r="F3" s="303" t="str">
        <f>_xlfn.TEXTJOIN(" ",TRUE,Table_Foutmeldingen[[#This Row],[Foutmelding - deel 1]:[Foutmelding - deel 3]])</f>
        <v>FOUT: Projecttitel mag niet langer zijn dan 255 karakters!</v>
      </c>
      <c r="G3" s="302"/>
    </row>
    <row r="4" spans="1:7" ht="15" customHeight="1" x14ac:dyDescent="0.2">
      <c r="A4" s="302" t="s">
        <v>389</v>
      </c>
      <c r="B4" s="302" t="s">
        <v>260</v>
      </c>
      <c r="C4" s="301"/>
      <c r="D4" s="354"/>
      <c r="E4" s="357"/>
      <c r="F4" s="303" t="str">
        <f>_xlfn.TEXTJOIN(" ",TRUE,Table_Foutmeldingen[[#This Row],[Foutmelding - deel 1]:[Foutmelding - deel 3]])</f>
        <v>FOUT: Projectacroniem mag niet langer zijn dan 30 karakters!</v>
      </c>
      <c r="G4" s="302"/>
    </row>
    <row r="5" spans="1:7" ht="15" customHeight="1" x14ac:dyDescent="0.2">
      <c r="A5" s="302" t="s">
        <v>356</v>
      </c>
      <c r="B5" s="302" t="s">
        <v>261</v>
      </c>
      <c r="C5" s="301"/>
      <c r="D5" s="354"/>
      <c r="E5" s="357"/>
      <c r="F5" s="303" t="str">
        <f>_xlfn.TEXTJOIN(" ",TRUE,Table_Foutmeldingen[[#This Row],[Foutmelding - deel 1]:[Foutmelding - deel 3]])</f>
        <v>FOUT: Een project dient een Penvoerder (Deelnemer 1) te hebben!</v>
      </c>
      <c r="G5" s="302"/>
    </row>
    <row r="6" spans="1:7" ht="15" customHeight="1" x14ac:dyDescent="0.2">
      <c r="A6" s="302" t="s">
        <v>357</v>
      </c>
      <c r="B6" s="302" t="s">
        <v>262</v>
      </c>
      <c r="C6" s="301"/>
      <c r="D6" s="354"/>
      <c r="E6" s="357"/>
      <c r="F6" s="303" t="str">
        <f>_xlfn.TEXTJOIN(" ",TRUE,Table_Foutmeldingen[[#This Row],[Foutmelding - deel 1]:[Foutmelding - deel 3]])</f>
        <v>FOUT: Een project dient minstens twee deelnemers te hebben!</v>
      </c>
      <c r="G6" s="302"/>
    </row>
    <row r="7" spans="1:7" ht="15" customHeight="1" x14ac:dyDescent="0.2">
      <c r="A7" s="302" t="s">
        <v>358</v>
      </c>
      <c r="B7" s="302" t="s">
        <v>263</v>
      </c>
      <c r="C7" s="301"/>
      <c r="D7" s="354"/>
      <c r="E7" s="357"/>
      <c r="F7" s="303" t="str">
        <f>_xlfn.TEXTJOIN(" ",TRUE,Table_Foutmeldingen[[#This Row],[Foutmelding - deel 1]:[Foutmelding - deel 3]])</f>
        <v>FOUT: Sla geen deelnemers over!</v>
      </c>
      <c r="G7" s="302"/>
    </row>
    <row r="8" spans="1:7" ht="15" customHeight="1" x14ac:dyDescent="0.2">
      <c r="A8" s="302" t="s">
        <v>359</v>
      </c>
      <c r="B8" s="302" t="s">
        <v>264</v>
      </c>
      <c r="C8" s="301"/>
      <c r="D8" s="354"/>
      <c r="E8" s="357"/>
      <c r="F8" s="303" t="str">
        <f>_xlfn.TEXTJOIN(" ",TRUE,Table_Foutmeldingen[[#This Row],[Foutmelding - deel 1]:[Foutmelding - deel 3]])</f>
        <v>FOUT: De organisatienaam ontbreekt!</v>
      </c>
      <c r="G8" s="302"/>
    </row>
    <row r="9" spans="1:7" ht="15" customHeight="1" x14ac:dyDescent="0.2">
      <c r="A9" s="302" t="s">
        <v>360</v>
      </c>
      <c r="B9" s="302" t="s">
        <v>265</v>
      </c>
      <c r="C9" s="301"/>
      <c r="D9" s="354"/>
      <c r="E9" s="357"/>
      <c r="F9" s="303" t="str">
        <f>_xlfn.TEXTJOIN(" ",TRUE,Table_Foutmeldingen[[#This Row],[Foutmelding - deel 1]:[Foutmelding - deel 3]])</f>
        <v>FOUT: Tenminste één deelnemer in het consortium moet een onderzoeksorganisatie zijn!</v>
      </c>
      <c r="G9" s="302"/>
    </row>
    <row r="10" spans="1:7" ht="15" customHeight="1" x14ac:dyDescent="0.2">
      <c r="A10" s="302" t="s">
        <v>361</v>
      </c>
      <c r="B10" s="302" t="s">
        <v>266</v>
      </c>
      <c r="C10" s="301"/>
      <c r="D10" s="354"/>
      <c r="E10" s="357"/>
      <c r="F10" s="303" t="str">
        <f>_xlfn.TEXTJOIN(" ",TRUE,Table_Foutmeldingen[[#This Row],[Foutmelding - deel 1]:[Foutmelding - deel 3]])</f>
        <v>FOUT: Kies een Type Organisatie!</v>
      </c>
      <c r="G10" s="302"/>
    </row>
    <row r="11" spans="1:7" ht="15" customHeight="1" x14ac:dyDescent="0.2">
      <c r="A11" s="302" t="s">
        <v>362</v>
      </c>
      <c r="B11" s="302" t="s">
        <v>267</v>
      </c>
      <c r="C11" s="301"/>
      <c r="D11" s="354"/>
      <c r="E11" s="357"/>
      <c r="F11" s="303" t="str">
        <f>_xlfn.TEXTJOIN(" ",TRUE,Table_Foutmeldingen[[#This Row],[Foutmelding - deel 1]:[Foutmelding - deel 3]])</f>
        <v>FOUT: De penvoerder moet een Nederlandse organisatie zijn!</v>
      </c>
      <c r="G11" s="302"/>
    </row>
    <row r="12" spans="1:7" ht="15" customHeight="1" x14ac:dyDescent="0.2">
      <c r="A12" s="302" t="s">
        <v>363</v>
      </c>
      <c r="B12" s="302" t="s">
        <v>268</v>
      </c>
      <c r="C12" s="301"/>
      <c r="D12" s="354"/>
      <c r="E12" s="357"/>
      <c r="F12" s="303" t="str">
        <f>_xlfn.TEXTJOIN(" ",TRUE,Table_Foutmeldingen[[#This Row],[Foutmelding - deel 1]:[Foutmelding - deel 3]])</f>
        <v>FOUT: Als de deelnemer een Nederlandse organisatie is, is het KVK-nummer verplicht!</v>
      </c>
      <c r="G12" s="302"/>
    </row>
    <row r="13" spans="1:7" ht="15" customHeight="1" x14ac:dyDescent="0.2">
      <c r="A13" s="302" t="s">
        <v>394</v>
      </c>
      <c r="B13" s="302" t="s">
        <v>395</v>
      </c>
      <c r="C13" s="301"/>
      <c r="D13" s="354"/>
      <c r="E13" s="357"/>
      <c r="F13" s="303" t="str">
        <f>_xlfn.TEXTJOIN(" ",TRUE,Table_Foutmeldingen[[#This Row],[Foutmelding - deel 1]:[Foutmelding - deel 3]])</f>
        <v>FOUT: Een Nederlands KVK-nummer is maximaal 8 tekens lang! Vul geen buitenlands CoC-nr. in.</v>
      </c>
      <c r="G13" s="302"/>
    </row>
    <row r="14" spans="1:7" ht="15" customHeight="1" x14ac:dyDescent="0.2">
      <c r="A14" s="302" t="s">
        <v>364</v>
      </c>
      <c r="B14" s="302" t="s">
        <v>269</v>
      </c>
      <c r="C14" s="301"/>
      <c r="D14" s="354"/>
      <c r="E14" s="357"/>
      <c r="F14" s="303" t="str">
        <f>_xlfn.TEXTJOIN(" ",TRUE,Table_Foutmeldingen[[#This Row],[Foutmelding - deel 1]:[Foutmelding - deel 3]])</f>
        <v>FOUT: Een buitenlandse organisatie heeft geen KVK-nummer!</v>
      </c>
      <c r="G14" s="302"/>
    </row>
    <row r="15" spans="1:7" ht="15" customHeight="1" x14ac:dyDescent="0.2">
      <c r="A15" s="302" t="s">
        <v>365</v>
      </c>
      <c r="B15" s="302" t="s">
        <v>402</v>
      </c>
      <c r="C15" s="301"/>
      <c r="D15" s="354"/>
      <c r="E15" s="357"/>
      <c r="F15" s="303" t="str">
        <f>_xlfn.TEXTJOIN(" ",TRUE,Table_Foutmeldingen[[#This Row],[Foutmelding - deel 1]:[Foutmelding - deel 3]])</f>
        <v>FOUT: Kies eerst een Kostensystematiek (voor alle deelnemers)!</v>
      </c>
      <c r="G15" s="302" t="s">
        <v>401</v>
      </c>
    </row>
    <row r="16" spans="1:7" ht="15" customHeight="1" x14ac:dyDescent="0.2">
      <c r="A16" s="302" t="s">
        <v>403</v>
      </c>
      <c r="B16" s="302" t="s">
        <v>404</v>
      </c>
      <c r="C16" s="301"/>
      <c r="D16" s="354"/>
      <c r="E16" s="357"/>
      <c r="F16" s="303" t="str">
        <f>_xlfn.TEXTJOIN(" ",TRUE,Table_Foutmeldingen[[#This Row],[Foutmelding - deel 1]:[Foutmelding - deel 3]])</f>
        <v>FOUT: Bij de vaste uurtarief-systematiek (vast uurtarief van 60 euro) moet het uurtarief € 60,-- zijn!</v>
      </c>
      <c r="G16" s="302" t="s">
        <v>405</v>
      </c>
    </row>
    <row r="17" spans="1:7" ht="15" customHeight="1" x14ac:dyDescent="0.2">
      <c r="A17" s="302" t="s">
        <v>366</v>
      </c>
      <c r="B17" s="302" t="s">
        <v>466</v>
      </c>
      <c r="C17" s="301"/>
      <c r="D17" s="354"/>
      <c r="E17" s="357"/>
      <c r="F17" s="303" t="str">
        <f>_xlfn.TEXTJOIN(" ",TRUE,Table_Foutmeldingen[[#This Row],[Foutmelding - deel 1]:[Foutmelding - deel 3]])</f>
        <v>FOUT: De Penvoerder (Deelnemer 1) moet altijd een onderzoeksorganisatie zijn, tenzij het een subsidie-instrument voor MKB is!</v>
      </c>
      <c r="G17" s="302"/>
    </row>
    <row r="18" spans="1:7" ht="15" customHeight="1" x14ac:dyDescent="0.2">
      <c r="A18" s="302" t="s">
        <v>367</v>
      </c>
      <c r="B18" s="302" t="s">
        <v>469</v>
      </c>
      <c r="C18" s="301"/>
      <c r="D18" s="354"/>
      <c r="E18" s="357"/>
      <c r="F18" s="303" t="str">
        <f>_xlfn.TEXTJOIN(" ",TRUE,Table_Foutmeldingen[[#This Row],[Foutmelding - deel 1]:[Foutmelding - deel 3]])</f>
        <v>FOUT: Bij een subsidie-intsrument voor MKB moeten de deelnemers MKB of onderzoeksorganisatie zijn!</v>
      </c>
      <c r="G18" s="302"/>
    </row>
    <row r="19" spans="1:7" ht="15" customHeight="1" x14ac:dyDescent="0.2">
      <c r="A19" s="302" t="s">
        <v>368</v>
      </c>
      <c r="B19" s="302" t="s">
        <v>270</v>
      </c>
      <c r="C19" s="301" t="str">
        <f>CHAR(10)&amp;"Verschil:"</f>
        <v xml:space="preserve">
Verschil:</v>
      </c>
      <c r="D19" s="354" t="str">
        <f ca="1">IF(OR(Table_Foutmeldingen[[#This Row],[Value]]="",Table_Foutmeldingen[[#This Row],[Value]]=0),"",TEXT(Table_Foutmeldingen[[#This Row],[Value]],"_ [$€-nl-NL]* #,##0_ ;_ [$€-nl-NL]* -#,##0_ ;_ [$€-nl-NL]* "" - ""_ ;_ @_ "))</f>
        <v/>
      </c>
      <c r="E19" s="357" cm="1">
        <f t="array" aca="1" ref="E19" ca="1">Minimale_Cash_CoF-SUMIFS(Table_LuT_Deelnemers[Cash Bijdrage],Table_LuT_Deelnemers[Type Organisatie],"&lt;&gt;Onderzoeksorganisatie")</f>
        <v>0</v>
      </c>
      <c r="F19" s="303" t="str">
        <f ca="1">_xlfn.TEXTJOIN(" ",TRUE,Table_Foutmeldingen[[#This Row],[Foutmelding - deel 1]:[Foutmelding - deel 3]])</f>
        <v>FOUT: Som van Cash Bijdragen Private Partijen moet tenminste de minimale Cash Co-funding zijn! 
Verschil:</v>
      </c>
      <c r="G19" s="302" t="s">
        <v>337</v>
      </c>
    </row>
    <row r="20" spans="1:7" ht="15" customHeight="1" x14ac:dyDescent="0.2">
      <c r="A20" s="302" t="s">
        <v>369</v>
      </c>
      <c r="B20" s="302" t="s">
        <v>271</v>
      </c>
      <c r="C20" s="301" t="str">
        <f>CHAR(10)&amp;"Verschil:"</f>
        <v xml:space="preserve">
Verschil:</v>
      </c>
      <c r="D20" s="354" t="str">
        <f ca="1">IF(OR(Table_Foutmeldingen[[#This Row],[Value]]="",Table_Foutmeldingen[[#This Row],[Value]]=0),"",TEXT(Table_Foutmeldingen[[#This Row],[Value]],"_ [$€-nl-NL]* #,##0_ ;_ [$€-nl-NL]* -#,##0_ ;_ [$€-nl-NL]* "" - ""_ ;_ @_ "))</f>
        <v/>
      </c>
      <c r="E20" s="357" cm="1">
        <f t="array" aca="1" ref="E20" ca="1">Minimale_Cash_CoF-SUMIFS(Table_LuT_Deelnemers[Cash Ontvangen],Table_LuT_Deelnemers[Type Organisatie],"Onderzoeksorganisatie")</f>
        <v>0</v>
      </c>
      <c r="F20" s="303" t="str">
        <f ca="1">_xlfn.TEXTJOIN(" ",TRUE,Table_Foutmeldingen[[#This Row],[Foutmelding - deel 1]:[Foutmelding - deel 3]])</f>
        <v>FOUT: Som van Cash Ontvangen door OOs moet tenminste de minimale Cash Co-funding zijn! 
Verschil:</v>
      </c>
      <c r="G20" s="302" t="s">
        <v>338</v>
      </c>
    </row>
    <row r="21" spans="1:7" ht="15" customHeight="1" x14ac:dyDescent="0.2">
      <c r="A21" s="302" t="s">
        <v>370</v>
      </c>
      <c r="B21" s="302" t="s">
        <v>272</v>
      </c>
      <c r="C21" s="301"/>
      <c r="D21" s="354"/>
      <c r="E21" s="357"/>
      <c r="F21" s="303" t="str">
        <f>_xlfn.TEXTJOIN(" ",TRUE,Table_Foutmeldingen[[#This Row],[Foutmelding - deel 1]:[Foutmelding - deel 3]])</f>
        <v>FOUT: Een organisatie die Cash bijdraagt, kan niet ook Cash ontvangen!</v>
      </c>
      <c r="G21" s="302" t="s">
        <v>353</v>
      </c>
    </row>
    <row r="22" spans="1:7" ht="15" customHeight="1" x14ac:dyDescent="0.2">
      <c r="A22" s="302" t="s">
        <v>371</v>
      </c>
      <c r="B22" s="302" t="s">
        <v>273</v>
      </c>
      <c r="C22" s="301" t="str">
        <f>CHAR(10)&amp;"Verschil:"</f>
        <v xml:space="preserve">
Verschil:</v>
      </c>
      <c r="D22" s="354" t="str">
        <f ca="1">IF(OR(Table_Foutmeldingen[[#This Row],[Value]]="",Table_Foutmeldingen[[#This Row],[Value]]=0),"",TEXT(Table_Foutmeldingen[[#This Row],[Value]],"_ [$€-nl-NL]* #,##0_ ;_ [$€-nl-NL]* -#,##0_ ;_ [$€-nl-NL]* "" - ""_ ;_ @_ "))</f>
        <v/>
      </c>
      <c r="E22" s="357">
        <f ca="1">Table_LuT_Deelnemers[[#Totals],[Cash Bijdrage]]-Table_LuT_Deelnemers[[#Totals],[Cash Ontvangen]]</f>
        <v>0</v>
      </c>
      <c r="F22" s="303" t="str">
        <f ca="1">_xlfn.TEXTJOIN(" ",TRUE,Table_Foutmeldingen[[#This Row],[Foutmelding - deel 1]:[Foutmelding - deel 3]])</f>
        <v>FOUT: Som van Cash Bijdrage moet gelijk zijn aan som Cash Ontvangen! 
Verschil:</v>
      </c>
      <c r="G22" s="302" t="s">
        <v>352</v>
      </c>
    </row>
    <row r="23" spans="1:7" ht="15" customHeight="1" x14ac:dyDescent="0.2">
      <c r="A23" s="302" t="s">
        <v>372</v>
      </c>
      <c r="B23" s="302" t="s">
        <v>327</v>
      </c>
      <c r="C23" s="301" t="str">
        <f>CHAR(10)&amp;"Verschil:"</f>
        <v xml:space="preserve">
Verschil:</v>
      </c>
      <c r="D23" s="354" t="str">
        <f ca="1">IF(OR(Table_Foutmeldingen[[#This Row],[Value]]="",Table_Foutmeldingen[[#This Row],[Value]]=0),"",TEXT(Table_Foutmeldingen[[#This Row],[Value]],"_ [$€-nl-NL]* #,##0_ ;_ [$€-nl-NL]* -#,##0_ ;_ [$€-nl-NL]* "" - ""_ ;_ @_ "))</f>
        <v/>
      </c>
      <c r="E23" s="357">
        <f ca="1">SUMIFS(Table_LuT_Deelnemers[Gevraagd - Max FO, als &gt;0],Table_LuT_Deelnemers[Gevraagd - Max FO, als &gt;0],"&gt;0")</f>
        <v>0</v>
      </c>
      <c r="F23" s="303" t="str">
        <f ca="1">_xlfn.TEXTJOIN(" ",TRUE,Table_Foutmeldingen[[#This Row],[Foutmelding - deel 1]:[Foutmelding - deel 3]])</f>
        <v>FOUT: Gevraagde Subsidie FO van (minstens) een deelnemer overschrijdt de Maximale Subsidie FO! 
Verschil:</v>
      </c>
      <c r="G23" s="302" t="s">
        <v>339</v>
      </c>
    </row>
    <row r="24" spans="1:7" ht="15" customHeight="1" x14ac:dyDescent="0.2">
      <c r="A24" s="302" t="s">
        <v>373</v>
      </c>
      <c r="B24" s="302" t="s">
        <v>326</v>
      </c>
      <c r="C24" s="301" t="str">
        <f>CHAR(10)&amp;"Verschil:"</f>
        <v xml:space="preserve">
Verschil:</v>
      </c>
      <c r="D24" s="354" t="str">
        <f ca="1">IF(OR(Table_Foutmeldingen[[#This Row],[Value]]="",Table_Foutmeldingen[[#This Row],[Value]]=0),"",TEXT(Table_Foutmeldingen[[#This Row],[Value]],"_ [$€-nl-NL]* #,##0_ ;_ [$€-nl-NL]* -#,##0_ ;_ [$€-nl-NL]* "" - ""_ ;_ @_ "))</f>
        <v/>
      </c>
      <c r="E24" s="357">
        <f ca="1">SUMIFS(Table_LuT_Deelnemers[Gevraagd - Max IO, als &gt;0],Table_LuT_Deelnemers[Gevraagd - Max IO, als &gt;0],"&gt;0")</f>
        <v>0</v>
      </c>
      <c r="F24" s="303" t="str">
        <f ca="1">_xlfn.TEXTJOIN(" ",TRUE,Table_Foutmeldingen[[#This Row],[Foutmelding - deel 1]:[Foutmelding - deel 3]])</f>
        <v>FOUT: Gevraagde Subsidie IO van (minstens) een deelnemer overschrijdt de Maximale Subsidie IO! 
Verschil:</v>
      </c>
      <c r="G24" s="302" t="s">
        <v>340</v>
      </c>
    </row>
    <row r="25" spans="1:7" ht="15" customHeight="1" x14ac:dyDescent="0.2">
      <c r="A25" s="302" t="s">
        <v>374</v>
      </c>
      <c r="B25" s="302" t="s">
        <v>325</v>
      </c>
      <c r="C25" s="301" t="str">
        <f>CHAR(10)&amp;"Verschil:"</f>
        <v xml:space="preserve">
Verschil:</v>
      </c>
      <c r="D25" s="354" t="str">
        <f ca="1">IF(OR(Table_Foutmeldingen[[#This Row],[Value]]="",Table_Foutmeldingen[[#This Row],[Value]]=0),"",TEXT(Table_Foutmeldingen[[#This Row],[Value]],"_ [$€-nl-NL]* #,##0_ ;_ [$€-nl-NL]* -#,##0_ ;_ [$€-nl-NL]* "" - ""_ ;_ @_ "))</f>
        <v/>
      </c>
      <c r="E25" s="357">
        <f ca="1">SUMIFS(Table_LuT_Deelnemers[Gevraagd - Max EO, als &gt;0],Table_LuT_Deelnemers[Gevraagd - Max EO, als &gt;0],"&gt;0")</f>
        <v>0</v>
      </c>
      <c r="F25" s="303" t="str">
        <f ca="1">_xlfn.TEXTJOIN(" ",TRUE,Table_Foutmeldingen[[#This Row],[Foutmelding - deel 1]:[Foutmelding - deel 3]])</f>
        <v>FOUT: Gevraagde Subsidie EO van (minstens) een deelnemer overschrijdt de Maximale Subsidie EO! 
Verschil:</v>
      </c>
      <c r="G25" s="302" t="s">
        <v>341</v>
      </c>
    </row>
    <row r="26" spans="1:7" ht="15" customHeight="1" x14ac:dyDescent="0.2">
      <c r="A26" s="302" t="s">
        <v>375</v>
      </c>
      <c r="B26" s="302" t="s">
        <v>274</v>
      </c>
      <c r="C26" s="301"/>
      <c r="D26" s="354"/>
      <c r="E26" s="357"/>
      <c r="F26" s="303" t="str">
        <f>_xlfn.TEXTJOIN(" ",TRUE,Table_Foutmeldingen[[#This Row],[Foutmelding - deel 1]:[Foutmelding - deel 3]])</f>
        <v>FOUT: Een onderzoeksorganisatie mag in geen enkele activiteitencategorie (FO, IO , EO) meer subsidie ontvangen dan 80% van de resp. kosten!</v>
      </c>
      <c r="G26" s="302" t="s">
        <v>342</v>
      </c>
    </row>
    <row r="27" spans="1:7" ht="15" customHeight="1" x14ac:dyDescent="0.2">
      <c r="A27" s="302" t="s">
        <v>376</v>
      </c>
      <c r="B27" s="302" t="s">
        <v>275</v>
      </c>
      <c r="C27" s="301" t="str">
        <f>CHAR(10)&amp;"Verschil:"</f>
        <v xml:space="preserve">
Verschil:</v>
      </c>
      <c r="D27" s="354" t="str">
        <f ca="1">IF(OR(Table_Foutmeldingen[[#This Row],[Value]]="",Table_Foutmeldingen[[#This Row],[Value]]=0),"",TEXT(Table_Foutmeldingen[[#This Row],[Value]],"_ [$€-nl-NL]* #,##0_ ;_ [$€-nl-NL]* -#,##0_ ;_ [$€-nl-NL]* "" - ""_ ;_ @_ "))</f>
        <v/>
      </c>
      <c r="E27" s="357">
        <f ca="1">Table_LuT_Deelnemers[[#Totals],[Gevraagde Subsidie Totaal]]-Table_LuT_Deelnemers[[#Totals],[Maximale Subsidie Totaal - HTSM]]</f>
        <v>0</v>
      </c>
      <c r="F27" s="303" t="str">
        <f ca="1">_xlfn.TEXTJOIN(" ",TRUE,Table_Foutmeldingen[[#This Row],[Foutmelding - deel 1]:[Foutmelding - deel 3]])</f>
        <v>FOUT: Gevraagde Subsidie Totaal overschrijdt de Maximale Subsidie Totaal! 
Verschil:</v>
      </c>
      <c r="G27" s="302" t="s">
        <v>343</v>
      </c>
    </row>
    <row r="28" spans="1:7" ht="15" customHeight="1" x14ac:dyDescent="0.2">
      <c r="A28" s="302" t="s">
        <v>377</v>
      </c>
      <c r="B28" s="302" t="s">
        <v>467</v>
      </c>
      <c r="C28" s="301" t="str">
        <f>CHAR(10)&amp;"Verschil:"</f>
        <v xml:space="preserve">
Verschil:</v>
      </c>
      <c r="D28" s="354" t="str">
        <f ca="1">IF(OR(Table_Foutmeldingen[[#This Row],[Value]]="",Table_Foutmeldingen[[#This Row],[Value]]=0),"",TEXT(Table_Foutmeldingen[[#This Row],[Value]],"_ [$€-nl-NL]* #,##0_ ;_ [$€-nl-NL]* -#,##0_ ;_ [$€-nl-NL]* "" - ""_ ;_ @_ "))</f>
        <v/>
      </c>
      <c r="E28" s="358">
        <f ca="1">Table_LuT_Begroting_Deelnemers[[#Totals],[Gevraagde Subsidie Totaal PP]]</f>
        <v>0</v>
      </c>
      <c r="F28" s="303" t="str">
        <f ca="1">_xlfn.TEXTJOIN(" ",TRUE,Table_Foutmeldingen[[#This Row],[Foutmelding - deel 1]:[Foutmelding - deel 3]])</f>
        <v>FOUT: Alleen Onderzoeksorganisaties ontvangen subsidie, tenzij het een subsidie-instrument voor MKB is! 
Verschil:</v>
      </c>
      <c r="G28" s="302" t="s">
        <v>462</v>
      </c>
    </row>
    <row r="29" spans="1:7" ht="15" customHeight="1" x14ac:dyDescent="0.2">
      <c r="A29" s="302" t="s">
        <v>378</v>
      </c>
      <c r="B29" s="302" t="s">
        <v>282</v>
      </c>
      <c r="C29" s="301" t="str">
        <f>CHAR(10)&amp;"Verschil:"</f>
        <v xml:space="preserve">
Verschil:</v>
      </c>
      <c r="D29" s="354" t="str">
        <f ca="1">IF(OR(Table_Foutmeldingen[[#This Row],[Value]]="",Table_Foutmeldingen[[#This Row],[Value]]=0),"",TEXT(Table_Foutmeldingen[[#This Row],[Value]],"_ [$€-nl-NL]* #,##0_ ;_ [$€-nl-NL]* -#,##0_ ;_ [$€-nl-NL]* "" - ""_ ;_ @_ "))</f>
        <v/>
      </c>
      <c r="E29" s="357">
        <f ca="1">SUMIFS(Table_LuT_Deelnemers[Gevraagd - Max Totaal],Table_LuT_Deelnemers[Gevraagd - Max Totaal],"&gt;0")</f>
        <v>0</v>
      </c>
      <c r="F29" s="303" t="str">
        <f ca="1">_xlfn.TEXTJOIN(" ",TRUE,Table_Foutmeldingen[[#This Row],[Foutmelding - deel 1]:[Foutmelding - deel 3]])</f>
        <v>FOUT: Gevraagde Subsidie van (minstens) een deelnemer overschrijdt zijn Maximale Subsidie! 
Verschil:</v>
      </c>
      <c r="G29" s="302" t="s">
        <v>344</v>
      </c>
    </row>
    <row r="30" spans="1:7" ht="15" customHeight="1" x14ac:dyDescent="0.2">
      <c r="A30" s="302" t="s">
        <v>379</v>
      </c>
      <c r="B30" s="302" t="s">
        <v>276</v>
      </c>
      <c r="C30" s="301" t="str">
        <f>CHAR(10)&amp;"Verschil:"</f>
        <v xml:space="preserve">
Verschil:</v>
      </c>
      <c r="D30" s="354" t="str">
        <f ca="1">IF(OR(Table_Foutmeldingen[[#This Row],[Value]]="",Table_Foutmeldingen[[#This Row],[Value]]=0),"",TEXT(Table_Foutmeldingen[[#This Row],[Value]],"_ [$€-nl-NL]* #,##0_ ;_ [$€-nl-NL]* -#,##0_ ;_ [$€-nl-NL]* "" - ""_ ;_ @_ "))</f>
        <v/>
      </c>
      <c r="E30" s="357">
        <f ca="1">Table_LuT_Deelnemers[[#Totals],[Financiering Totaal]]-Table_LuT_Deelnemers[[#Totals],[Kosten Totaal]]</f>
        <v>0</v>
      </c>
      <c r="F30" s="303" t="str">
        <f ca="1">_xlfn.TEXTJOIN(" ",TRUE,Table_Foutmeldingen[[#This Row],[Foutmelding - deel 1]:[Foutmelding - deel 3]])</f>
        <v>FOUT: Som van Kosten iedere Deelnemer moet gelijk zijn aan som Financiering iedere Deelnemer! 
Verschil:</v>
      </c>
      <c r="G30" s="302" t="s">
        <v>345</v>
      </c>
    </row>
    <row r="31" spans="1:7" ht="15" customHeight="1" x14ac:dyDescent="0.2">
      <c r="A31" s="302" t="s">
        <v>380</v>
      </c>
      <c r="B31" s="302" t="s">
        <v>277</v>
      </c>
      <c r="C31" s="301" t="str">
        <f>CHAR(10)&amp;"Verschil:"</f>
        <v xml:space="preserve">
Verschil:</v>
      </c>
      <c r="D31" s="354" t="str">
        <f ca="1">IF(OR(Table_Foutmeldingen[[#This Row],[Value]]="",Table_Foutmeldingen[[#This Row],[Value]]=0),"",TEXT(Table_Foutmeldingen[[#This Row],[Value]],"_ [$€-nl-NL]* #,##0_ ;_ [$€-nl-NL]* -#,##0_ ;_ [$€-nl-NL]* "" - ""_ ;_ @_ "))</f>
        <v/>
      </c>
      <c r="E31" s="357">
        <f ca="1">Table_LuT_Deelnemers[[#Totals],[Financiering Totaal]]-Table_LuT_Deelnemers[[#Totals],[Kosten Totaal]]</f>
        <v>0</v>
      </c>
      <c r="F31" s="303" t="str">
        <f ca="1">_xlfn.TEXTJOIN(" ",TRUE,Table_Foutmeldingen[[#This Row],[Foutmelding - deel 1]:[Foutmelding - deel 3]])</f>
        <v>FOUT: Som van Kosten Totaal moet gelijk zijn aan som Financiering Totaal! 
Verschil:</v>
      </c>
      <c r="G31" s="302" t="s">
        <v>346</v>
      </c>
    </row>
    <row r="32" spans="1:7" ht="15" customHeight="1" x14ac:dyDescent="0.2">
      <c r="A32" s="302" t="s">
        <v>381</v>
      </c>
      <c r="B32" s="302" t="s">
        <v>468</v>
      </c>
      <c r="C32" s="301"/>
      <c r="D32" s="354"/>
      <c r="E32" s="357"/>
      <c r="F32" s="303" t="str">
        <f>_xlfn.TEXTJOIN(" ",TRUE,Table_Foutmeldingen[[#This Row],[Foutmelding - deel 1]:[Foutmelding - deel 3]])</f>
        <v>FOUT: Bij een subsidie-instrument voor MKB zijn kostencategorieën FO en EO niet toegestaan!</v>
      </c>
      <c r="G32" s="302" t="s">
        <v>336</v>
      </c>
    </row>
    <row r="33" spans="1:7" ht="15" customHeight="1" x14ac:dyDescent="0.2">
      <c r="A33" s="302" t="s">
        <v>382</v>
      </c>
      <c r="B33" s="302" t="s">
        <v>280</v>
      </c>
      <c r="C33" s="301" t="str">
        <f>CHAR(10)&amp;"Verhouding:"</f>
        <v xml:space="preserve">
Verhouding:</v>
      </c>
      <c r="D33" s="355" t="str">
        <f>IFERROR(IF(Table_Foutmeldingen[[#This Row],[Value]]=0,"",TEXT(Table_Foutmeldingen[[#This Row],[Value]],"??/??")),"")</f>
        <v/>
      </c>
      <c r="E33" s="359" t="e">
        <f>SUMIFS(Table_LuT_Deelnemers[Kosten Totaal],Table_LuT_Deelnemers[Type Organisatie],"Onderzoeksorganisatie")/SUMIFS(Table_LuT_Deelnemers[Kosten Totaal],Table_LuT_Deelnemers[Type Organisatie],"MKB")</f>
        <v>#DIV/0!</v>
      </c>
      <c r="F33" s="303" t="str">
        <f>_xlfn.TEXTJOIN(" ",TRUE,Table_Foutmeldingen[[#This Row],[Foutmelding - deel 1]:[Foutmelding - deel 3]])</f>
        <v>FOUT: Verhouding kosten OO t.o.v. kosten MKB mag tenhoogste 1/2 zijn! 
Verhouding:</v>
      </c>
      <c r="G33" s="302" t="s">
        <v>347</v>
      </c>
    </row>
    <row r="34" spans="1:7" ht="15" customHeight="1" x14ac:dyDescent="0.2">
      <c r="A34" s="302" t="s">
        <v>383</v>
      </c>
      <c r="B34" s="302" t="s">
        <v>465</v>
      </c>
      <c r="C34" s="301"/>
      <c r="D34" s="354"/>
      <c r="E34" s="357"/>
      <c r="F34" s="303" t="str">
        <f>_xlfn.TEXTJOIN(" ",TRUE,Table_Foutmeldingen[[#This Row],[Foutmelding - deel 1]:[Foutmelding - deel 3]])</f>
        <v>FOUT: Bij een subsidie-instrument voor MKB is de maximale Gevraagde Subsidie voor MKBs tezamen € 300.000 en voor OOs tezamen € 150.000!</v>
      </c>
      <c r="G34" s="302" t="s">
        <v>348</v>
      </c>
    </row>
    <row r="35" spans="1:7" ht="15" customHeight="1" x14ac:dyDescent="0.2">
      <c r="A35" s="302" t="s">
        <v>384</v>
      </c>
      <c r="B35" s="302" t="s">
        <v>278</v>
      </c>
      <c r="C35" s="301"/>
      <c r="D35" s="354"/>
      <c r="E35" s="357"/>
      <c r="F35" s="303" t="str">
        <f>_xlfn.TEXTJOIN(" ",TRUE,Table_Foutmeldingen[[#This Row],[Foutmelding - deel 1]:[Foutmelding - deel 3]])</f>
        <v>FOUT: De deelnemer is niet gedefinieerd en er is wel een bedrag opgevoerd!</v>
      </c>
      <c r="G35" s="302" t="s">
        <v>349</v>
      </c>
    </row>
    <row r="36" spans="1:7" ht="15" customHeight="1" x14ac:dyDescent="0.2">
      <c r="A36" s="302" t="s">
        <v>385</v>
      </c>
      <c r="B36" s="302" t="s">
        <v>279</v>
      </c>
      <c r="C36" s="301"/>
      <c r="D36" s="354"/>
      <c r="E36" s="357"/>
      <c r="F36" s="303" t="str">
        <f>_xlfn.TEXTJOIN(" ",TRUE,Table_Foutmeldingen[[#This Row],[Foutmelding - deel 1]:[Foutmelding - deel 3]])</f>
        <v>FOUT: Alleen niet-negatieve en gehele bedragen zijn toegestaan!</v>
      </c>
      <c r="G36" s="302" t="s">
        <v>350</v>
      </c>
    </row>
    <row r="37" spans="1:7" ht="15" customHeight="1" x14ac:dyDescent="0.2">
      <c r="A37" s="302" t="s">
        <v>397</v>
      </c>
      <c r="B37" s="302" t="s">
        <v>398</v>
      </c>
      <c r="C37" s="301"/>
      <c r="D37" s="354"/>
      <c r="E37" s="357"/>
      <c r="F37" s="303" t="str">
        <f>_xlfn.TEXTJOIN(" ",TRUE,Table_Foutmeldingen[[#This Row],[Foutmelding - deel 1]:[Foutmelding - deel 3]])</f>
        <v>FOUT: Er is nog geen subsidie gevraagd.</v>
      </c>
      <c r="G37" s="302" t="s">
        <v>399</v>
      </c>
    </row>
    <row r="38" spans="1:7" x14ac:dyDescent="0.2">
      <c r="A38" s="302" t="s">
        <v>386</v>
      </c>
      <c r="B38" s="302" t="s">
        <v>392</v>
      </c>
      <c r="C38" s="301"/>
      <c r="D38" s="354"/>
      <c r="E38" s="357"/>
      <c r="F38" s="303" t="str">
        <f>_xlfn.TEXTJOIN(" ",TRUE,Table_Foutmeldingen[[#This Row],[Foutmelding - deel 1]:[Foutmelding - deel 3]])</f>
        <v>FOUT: Er zijn fouten in de begroting en/of er zijn fouten of ontbreken gegevens in overige tabs!</v>
      </c>
      <c r="G38" s="302" t="s">
        <v>351</v>
      </c>
    </row>
  </sheetData>
  <sheetProtection algorithmName="SHA-512" hashValue="w+UnrUfxaqhbakCoFoBvZLYWhRHJJPQttZdrcOQzxJ9IElImdlA4Vfijka6342gfJccW3LFv7GXi8ykqTD+i3Q==" saltValue="pWJwhAhlaiwPA2nlzSRHbA==" spinCount="100000" sheet="1" objects="1" scenarios="1"/>
  <phoneticPr fontId="40" type="noConversion"/>
  <printOptions gridLines="1"/>
  <pageMargins left="0.74803149606299213" right="0.74803149606299213" top="0.98425196850393704" bottom="0.98425196850393704" header="0.51181102362204722" footer="0.51181102362204722"/>
  <pageSetup paperSize="9" orientation="portrait" horizontalDpi="4294967292" verticalDpi="300" r:id="rId1"/>
  <headerFooter alignWithMargins="0">
    <oddFooter>&amp;L&amp;8Erna Olislaegers
&amp;D at &amp;T&amp;C&amp;8&amp;P/&amp;N&amp;R&amp;8File: &amp;F
Sheet: &amp;A</oddFooter>
  </headerFooter>
  <ignoredErrors>
    <ignoredError sqref="E20 D19:D20 E31 D31 D30:E30 E22:E25 D22:D25 E27:E29 D27:D29 E33 D33" calculatedColumn="1"/>
  </ignoredErrors>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075EB-A093-43A1-8FF2-74DC52F23F54}">
  <sheetPr codeName="Sheet71">
    <tabColor theme="9"/>
    <pageSetUpPr fitToPage="1"/>
  </sheetPr>
  <dimension ref="A1:CZ60"/>
  <sheetViews>
    <sheetView zoomScale="85" zoomScaleNormal="85" workbookViewId="0">
      <pane ySplit="1" topLeftCell="A2" activePane="bottomLeft" state="frozen"/>
      <selection activeCell="A2" sqref="A2"/>
      <selection pane="bottomLeft" activeCell="A2" sqref="A2"/>
    </sheetView>
  </sheetViews>
  <sheetFormatPr defaultRowHeight="15" customHeight="1" x14ac:dyDescent="0.25"/>
  <cols>
    <col min="1" max="1" width="25.28515625" style="3" bestFit="1" customWidth="1"/>
    <col min="2" max="2" width="15" style="3" bestFit="1" customWidth="1"/>
    <col min="3" max="3" width="12.7109375" style="3" customWidth="1"/>
    <col min="4" max="4" width="25.28515625" style="3" bestFit="1" customWidth="1"/>
    <col min="5" max="12" width="12.7109375" style="3" customWidth="1"/>
    <col min="13" max="21" width="6.7109375" style="3" customWidth="1"/>
    <col min="22" max="22" width="9.7109375" style="3" customWidth="1"/>
    <col min="23" max="58" width="6.7109375" style="3" customWidth="1"/>
    <col min="59" max="61" width="12.7109375" style="3" customWidth="1"/>
    <col min="62" max="84" width="11.7109375" style="3" customWidth="1"/>
    <col min="85" max="102" width="12.7109375" style="3" customWidth="1"/>
    <col min="103" max="16384" width="9.140625" style="3"/>
  </cols>
  <sheetData>
    <row r="1" spans="1:104" s="191" customFormat="1" ht="75" customHeight="1" x14ac:dyDescent="0.25">
      <c r="A1" s="5" t="s">
        <v>47</v>
      </c>
      <c r="B1" s="5" t="s">
        <v>48</v>
      </c>
      <c r="C1" s="5" t="s">
        <v>85</v>
      </c>
      <c r="D1" s="6" t="s">
        <v>49</v>
      </c>
      <c r="E1" s="6" t="s">
        <v>51</v>
      </c>
      <c r="F1" s="6" t="s">
        <v>1</v>
      </c>
      <c r="G1" s="6" t="s">
        <v>453</v>
      </c>
      <c r="H1" s="6" t="s">
        <v>97</v>
      </c>
      <c r="I1" s="6" t="s">
        <v>249</v>
      </c>
      <c r="J1" s="6" t="s">
        <v>251</v>
      </c>
      <c r="K1" s="6" t="s">
        <v>248</v>
      </c>
      <c r="L1" s="18" t="s">
        <v>5</v>
      </c>
      <c r="M1" s="6" t="s">
        <v>133</v>
      </c>
      <c r="N1" s="6" t="s">
        <v>139</v>
      </c>
      <c r="O1" s="6" t="s">
        <v>473</v>
      </c>
      <c r="P1" s="18" t="s">
        <v>140</v>
      </c>
      <c r="Q1" s="12" t="s">
        <v>113</v>
      </c>
      <c r="R1" s="12" t="s">
        <v>114</v>
      </c>
      <c r="S1" s="12" t="s">
        <v>112</v>
      </c>
      <c r="T1" s="12" t="s">
        <v>115</v>
      </c>
      <c r="U1" s="12" t="s">
        <v>116</v>
      </c>
      <c r="V1" s="12" t="s">
        <v>250</v>
      </c>
      <c r="W1" s="20" t="s">
        <v>155</v>
      </c>
      <c r="X1" s="247" t="s">
        <v>152</v>
      </c>
      <c r="Y1" s="12" t="s">
        <v>300</v>
      </c>
      <c r="Z1" s="12" t="s">
        <v>301</v>
      </c>
      <c r="AA1" s="12" t="s">
        <v>391</v>
      </c>
      <c r="AB1" s="12" t="s">
        <v>302</v>
      </c>
      <c r="AC1" s="12" t="s">
        <v>303</v>
      </c>
      <c r="AD1" s="12" t="s">
        <v>304</v>
      </c>
      <c r="AE1" s="12" t="s">
        <v>305</v>
      </c>
      <c r="AF1" s="12" t="s">
        <v>306</v>
      </c>
      <c r="AG1" s="12" t="s">
        <v>117</v>
      </c>
      <c r="AH1" s="12" t="s">
        <v>118</v>
      </c>
      <c r="AI1" s="12" t="s">
        <v>119</v>
      </c>
      <c r="AJ1" s="12" t="s">
        <v>396</v>
      </c>
      <c r="AK1" s="12" t="s">
        <v>120</v>
      </c>
      <c r="AL1" s="12" t="s">
        <v>154</v>
      </c>
      <c r="AM1" s="12" t="s">
        <v>406</v>
      </c>
      <c r="AN1" s="12" t="s">
        <v>181</v>
      </c>
      <c r="AO1" s="12" t="s">
        <v>179</v>
      </c>
      <c r="AP1" s="12" t="s">
        <v>283</v>
      </c>
      <c r="AQ1" s="12" t="s">
        <v>284</v>
      </c>
      <c r="AR1" s="12" t="s">
        <v>285</v>
      </c>
      <c r="AS1" s="12" t="s">
        <v>286</v>
      </c>
      <c r="AT1" s="12" t="s">
        <v>287</v>
      </c>
      <c r="AU1" s="12" t="s">
        <v>288</v>
      </c>
      <c r="AV1" s="12" t="s">
        <v>289</v>
      </c>
      <c r="AW1" s="12" t="s">
        <v>290</v>
      </c>
      <c r="AX1" s="12" t="s">
        <v>291</v>
      </c>
      <c r="AY1" s="12" t="s">
        <v>334</v>
      </c>
      <c r="AZ1" s="12" t="s">
        <v>292</v>
      </c>
      <c r="BA1" s="12" t="s">
        <v>293</v>
      </c>
      <c r="BB1" s="12" t="s">
        <v>294</v>
      </c>
      <c r="BC1" s="12" t="s">
        <v>295</v>
      </c>
      <c r="BD1" s="12" t="s">
        <v>296</v>
      </c>
      <c r="BE1" s="12" t="s">
        <v>297</v>
      </c>
      <c r="BF1" s="12" t="s">
        <v>298</v>
      </c>
      <c r="BG1" s="12" t="s">
        <v>299</v>
      </c>
      <c r="BH1" s="245" t="s">
        <v>400</v>
      </c>
      <c r="BI1" s="249" t="s">
        <v>184</v>
      </c>
      <c r="BJ1" s="9" t="s">
        <v>182</v>
      </c>
      <c r="BK1" s="9" t="s">
        <v>183</v>
      </c>
      <c r="BL1" s="255" t="s">
        <v>185</v>
      </c>
      <c r="BM1" s="12" t="s">
        <v>121</v>
      </c>
      <c r="BN1" s="12" t="s">
        <v>122</v>
      </c>
      <c r="BO1" s="12" t="s">
        <v>123</v>
      </c>
      <c r="BP1" s="12" t="s">
        <v>157</v>
      </c>
      <c r="BQ1" s="329" t="s">
        <v>252</v>
      </c>
      <c r="BR1" s="12" t="s">
        <v>441</v>
      </c>
      <c r="BS1" s="12" t="s">
        <v>442</v>
      </c>
      <c r="BT1" s="12" t="s">
        <v>443</v>
      </c>
      <c r="BU1" s="327" t="s">
        <v>444</v>
      </c>
      <c r="BV1" s="192" t="s">
        <v>150</v>
      </c>
      <c r="BW1" s="12" t="s">
        <v>151</v>
      </c>
      <c r="BX1" s="12" t="s">
        <v>84</v>
      </c>
      <c r="BY1" s="12" t="s">
        <v>54</v>
      </c>
      <c r="BZ1" s="192" t="s">
        <v>159</v>
      </c>
      <c r="CA1" s="192" t="s">
        <v>160</v>
      </c>
      <c r="CB1" s="192" t="s">
        <v>161</v>
      </c>
      <c r="CC1" s="12" t="s">
        <v>162</v>
      </c>
      <c r="CD1" s="20" t="s">
        <v>55</v>
      </c>
      <c r="CE1" s="12" t="s">
        <v>323</v>
      </c>
      <c r="CF1" s="12" t="s">
        <v>324</v>
      </c>
      <c r="CG1" s="12" t="s">
        <v>474</v>
      </c>
      <c r="CH1" s="12" t="s">
        <v>322</v>
      </c>
      <c r="CI1" s="256" t="s">
        <v>186</v>
      </c>
      <c r="CJ1" s="256" t="s">
        <v>187</v>
      </c>
      <c r="CK1" s="256" t="s">
        <v>470</v>
      </c>
      <c r="CL1" s="257" t="s">
        <v>471</v>
      </c>
      <c r="CM1" s="12" t="s">
        <v>445</v>
      </c>
      <c r="CN1" s="12" t="s">
        <v>446</v>
      </c>
      <c r="CO1" s="12" t="s">
        <v>447</v>
      </c>
      <c r="CP1" s="327" t="s">
        <v>448</v>
      </c>
      <c r="CQ1" s="12" t="s">
        <v>449</v>
      </c>
      <c r="CR1" s="12" t="s">
        <v>450</v>
      </c>
      <c r="CS1" s="12" t="s">
        <v>451</v>
      </c>
      <c r="CT1" s="327" t="s">
        <v>452</v>
      </c>
      <c r="CU1" s="6" t="s">
        <v>437</v>
      </c>
      <c r="CV1" s="6" t="s">
        <v>434</v>
      </c>
      <c r="CW1" s="6" t="s">
        <v>435</v>
      </c>
      <c r="CX1" s="6" t="s">
        <v>436</v>
      </c>
      <c r="CY1" s="6" t="s">
        <v>438</v>
      </c>
      <c r="CZ1" s="6" t="s">
        <v>439</v>
      </c>
    </row>
    <row r="2" spans="1:104" ht="15" customHeight="1" x14ac:dyDescent="0.25">
      <c r="A2" s="2" t="s">
        <v>58</v>
      </c>
      <c r="B2" s="2" t="s">
        <v>78</v>
      </c>
      <c r="C2" s="2" t="s">
        <v>86</v>
      </c>
      <c r="D2" s="3" t="str">
        <f>Table_LuT_Deelnemers[[#This Row],[ID Deelnemer]]</f>
        <v>Deelnemer 1 - Penvoerder</v>
      </c>
      <c r="E2" s="3" t="str" cm="1">
        <f t="array" ref="E2">IF(NOT(Table_LuT_Deelnemers[[#This Row],[DN niet leeg?]]),"",_xlfn.XLOOKUP(Table_LuT_Deelnemers[[#This Row],[ID Deelnemer]],INDEX(Range_Deelnemer_Nrs,,1),INDEX(Range_Deelnemer_Nrs,,2),"",0,1))</f>
        <v/>
      </c>
      <c r="F2" s="3" t="str" cm="1">
        <f t="array" ref="F2">IF(NOT(Table_LuT_Deelnemers[[#This Row],[Type Organisatie niet leeg?]]),"",_xlfn.XLOOKUP(Table_LuT_Deelnemers[[#This Row],[ID Deelnemer]],INDEX(Range_Deelnemer_Nrs,,1),INDEX(Range_Deelnemer_Nrs,,3),"",0,1))</f>
        <v/>
      </c>
      <c r="G2" s="3" t="str" cm="1">
        <f t="array" ref="G2">IF(NOT(Table_LuT_Deelnemers[[#This Row],[Type Organisatie niet leeg?]]),"",_xlfn.XLOOKUP(Table_LuT_Deelnemers[[#This Row],[Type Organisatie]],ValList_Type_Organisatie,Table_Val_List_Type_Org[TO]))</f>
        <v/>
      </c>
      <c r="H2" s="3" t="str" cm="1">
        <f t="array" ref="H2">IF(NOT(Table_LuT_Deelnemers[[#This Row],[KVK niet leeg?]]),"",_xlfn.XLOOKUP(Table_LuT_Deelnemers[[#This Row],[ID Deelnemer]],INDEX(Range_Deelnemer_Nrs,,1),INDEX(Range_Deelnemer_Nrs,,4),"",0,1))</f>
        <v/>
      </c>
      <c r="I2" s="3" t="str" cm="1">
        <f t="array" ref="I2">IF(NOT(Table_LuT_Deelnemers[[#This Row],[DN niet leeg?]]),"",IF(NOT(Table_LuT_Deelnemers[[#This Row],[Is Buitenlandse Organisatie]]),"",_xlfn.XLOOKUP(Table_LuT_Deelnemers[[#This Row],[ID Deelnemer]],INDEX(Range_Deelnemer_Nrs,,1),INDEX(Range_Deelnemer_Nrs,,5),"",0,1)))</f>
        <v/>
      </c>
      <c r="J2" s="3" t="str" cm="1">
        <f t="array" ref="J2">IF(NOT(Table_LuT_Deelnemers[[#This Row],[DN niet leeg?]]),"",_xlfn.XLOOKUP(Table_LuT_Deelnemers[[#This Row],[ID Deelnemer]],INDEX(Range_Deelnemer_Nrs,,1),INDEX(Range_Deelnemer_Nrs,,6),"",0,1)&lt;&gt;"nee")</f>
        <v/>
      </c>
      <c r="K2" s="3" t="str" cm="1">
        <f t="array" ref="K2">IF(NOT(Table_LuT_Deelnemers[[#This Row],[DN niet leeg?]]),"",_xlfn.LET(_xlpm.website,_xlfn.XLOOKUP(Table_LuT_Deelnemers[[#This Row],[ID Deelnemer]],INDEX(Range_Deelnemer_Nrs,,1),INDEX(Range_Deelnemer_Nrs,,7),"",0,1),IF(_xlpm.website=0,"",_xlpm.website)))</f>
        <v/>
      </c>
      <c r="L2" s="19" t="str" cm="1">
        <f t="array" aca="1" ref="L2" ca="1">IF(INDIRECT("'"&amp;Table_LuT_Deelnemers[[#This Row],[Naam Sheet]]&amp;"'!Kostensystematiek")="[Maak een keuze]","",INDIRECT("'"&amp;Table_LuT_Deelnemers[[#This Row],[Naam Sheet]]&amp;"'!Kostensystematiek"))</f>
        <v/>
      </c>
      <c r="M2" s="3" t="b">
        <f>Table_LuT_Deelnemers[[#This Row],[Type Organisatie]]="MKB"</f>
        <v>0</v>
      </c>
      <c r="N2" s="3" t="b">
        <f>Table_LuT_Deelnemers[[#This Row],[Type Organisatie]]="Onderzoeksorganisatie"</f>
        <v>0</v>
      </c>
      <c r="O2" s="3" t="b">
        <f>Table_LuT_Deelnemers[[#This Row],[Type Organisatie]]="Grootbedrijf"</f>
        <v>0</v>
      </c>
      <c r="P2" s="19" t="b">
        <f>Table_LuT_Deelnemers[[#This Row],[Verkorte Referentienaam Deelnemer]]="DN1"</f>
        <v>1</v>
      </c>
      <c r="Q2" s="3" t="b">
        <f t="shared" ref="Q2:Q21" si="0">NOT(ISBLANK(Deelnemer_1))</f>
        <v>0</v>
      </c>
      <c r="R2" s="3" t="b">
        <f t="shared" ref="R2:R21" si="1">NOT(ISBLANK(Deelnemer_2))</f>
        <v>0</v>
      </c>
      <c r="S2" s="3" t="b" cm="1">
        <f t="array" ref="S2">NOT(ISBLANK(_xlfn.XLOOKUP(Table_LuT_Deelnemers[[#This Row],[ID Deelnemer]],INDEX(Range_Deelnemer_Nrs,,1),INDEX(Range_Deelnemer_Nrs,,2),"",0,1)))</f>
        <v>0</v>
      </c>
      <c r="T2" s="3" t="b" cm="1">
        <f t="array" ref="T2">_xlfn.XLOOKUP(Table_LuT_Deelnemers[[#This Row],[ID Deelnemer]],INDEX(Range_Deelnemer_Nrs,,1),INDEX(Range_Deelnemer_Nrs,,3),"",0,1)&lt;&gt;"[Maak een keuze]"</f>
        <v>0</v>
      </c>
      <c r="U2" s="3" t="b" cm="1">
        <f t="array" ref="U2">NOT(ISBLANK(_xlfn.XLOOKUP(Table_LuT_Deelnemers[[#This Row],[ID Deelnemer]],INDEX(Range_Deelnemer_Nrs,,1),INDEX(Range_Deelnemer_Nrs,,4),"",0,1)))</f>
        <v>0</v>
      </c>
      <c r="V2" s="3" t="b" cm="1">
        <f t="array" ref="V2">NOT(ISBLANK(_xlfn.XLOOKUP(Table_LuT_Deelnemers[[#This Row],[ID Deelnemer]],INDEX(Range_Deelnemer_Nrs,,1),INDEX(Range_Deelnemer_Nrs,,5),"",0,1)))</f>
        <v>0</v>
      </c>
      <c r="W2" s="19" t="b" cm="1">
        <f t="array" aca="1" ref="W2" ca="1">INDIRECT("'"&amp;Table_LuT_Deelnemers[[#This Row],[Naam Sheet]]&amp;"'!Kostensystematiek")&lt;&gt;"[Maak een keuze]"</f>
        <v>0</v>
      </c>
      <c r="X2" s="248" t="b">
        <f>OR(NOT(Table_LuT_Deelnemers[[#This Row],[DN niet leeg?]]),Table_LuT_Deelnemers[[#This Row],[Is OO?]],NOT(Table_LuT_Deelnemers[[#This Row],[Is GB?]]))</f>
        <v>1</v>
      </c>
      <c r="Y2" s="3" t="b">
        <f>OR(Table_LuT_Deelnemers[[#This Row],[Verkorte Referentienaam Deelnemer]]&lt;&gt;"DN1",NOT(Table_LuT_Deelnemers[[#This Row],[Penvoerder niet leeg?]]),AND(Subsidie_instrument&lt;&gt;"[Maak een keuze]",NOT(ISBLANK(Projecttitel)),NOT(ISBLANK(Projectacroniem))))</f>
        <v>1</v>
      </c>
      <c r="Z2" s="3" t="b">
        <f t="shared" ref="Z2:Z21" si="2">LEN(Projecttitel)&lt;=255</f>
        <v>1</v>
      </c>
      <c r="AA2" s="3" t="b">
        <f t="shared" ref="AA2:AA21" si="3">LEN(Projectacroniem)&lt;=30</f>
        <v>1</v>
      </c>
      <c r="AB2" s="3" t="b">
        <f>OR(Table_LuT_Deelnemers[[#This Row],[Verkorte Referentienaam Deelnemer]]&lt;&gt;"DN1",Table_LuT_Deelnemers[[#This Row],[Penvoerder niet leeg?]],NOT(Table_LuT_Deelnemers[[#This Row],[DN2 niet leeg?]]))</f>
        <v>1</v>
      </c>
      <c r="AC2" s="3" t="b">
        <f>OR(Table_LuT_Deelnemers[[#This Row],[Verkorte Referentienaam Deelnemer]]&lt;&gt;"DN2",NOT(_xlfn.XOR(Table_LuT_Deelnemers[[#This Row],[Penvoerder niet leeg?]],Table_LuT_Deelnemers[[#This Row],[DN2 niet leeg?]])))</f>
        <v>1</v>
      </c>
      <c r="AD2" s="3" t="b">
        <f>OR(Table_LuT_Deelnemers[[#This Row],[Verkorte Referentienaam Deelnemer]]="DN1",NOT(Table_LuT_Deelnemers[[#This Row],[DN niet leeg?]]),AND(S1:S$2))</f>
        <v>1</v>
      </c>
      <c r="AE2"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2" s="3" t="b">
        <f>OR(NOT(Table_LuT_Deelnemers[[#This Row],[DN niet leeg?]]),NOT(Table_LuT_Deelnemers[[#This Row],[DN2 niet leeg?]]),OR(Table_LuT_Deelnemers[Is OO?]))</f>
        <v>1</v>
      </c>
      <c r="AG2" s="3" t="b">
        <f>OR(Table_LuT_Deelnemers[[#This Row],[Verkorte Referentienaam Deelnemer]]="DN1",NOT(_xlfn.XOR(Table_LuT_Deelnemers[[#This Row],[DN niet leeg?]],Table_LuT_Deelnemers[[#This Row],[Type Organisatie niet leeg?]])))</f>
        <v>1</v>
      </c>
      <c r="AH2" s="3" t="b">
        <f>OR(Table_LuT_Deelnemers[[#This Row],[Verkorte Referentienaam Deelnemer]]&lt;&gt;"DN1",NOT(Table_LuT_Deelnemers[[#This Row],[Penvoerder niet leeg?]]),NOT(Table_LuT_Deelnemers[[#This Row],[Is Buitenlandse Organisatie]]))</f>
        <v>1</v>
      </c>
      <c r="AI2" s="3" t="b">
        <f>OR(NOT(Table_LuT_Deelnemers[[#This Row],[DN niet leeg?]]),Table_LuT_Deelnemers[[#This Row],[Is Buitenlandse Organisatie]],Table_LuT_Deelnemers[[#This Row],[KVK niet leeg?]])</f>
        <v>1</v>
      </c>
      <c r="AJ2" s="3" t="b">
        <f>OR(NOT(Table_LuT_Deelnemers[[#This Row],[DN niet leeg?]]),Table_LuT_Deelnemers[[#This Row],[Is Buitenlandse Organisatie]],AND(Table_LuT_Deelnemers[[#This Row],[KVK niet leeg?]],LEN(Table_LuT_Deelnemers[[#This Row],[KVK-nummer]])&lt;=8))</f>
        <v>1</v>
      </c>
      <c r="AK2" s="3" t="b">
        <f>OR(NOT(Table_LuT_Deelnemers[[#This Row],[DN niet leeg?]]),NOT(Table_LuT_Deelnemers[[#This Row],[Is Buitenlandse Organisatie]]),NOT(Table_LuT_Deelnemers[[#This Row],[KVK niet leeg?]]))</f>
        <v>1</v>
      </c>
      <c r="AL2" s="3" t="b">
        <f ca="1">OR(NOT(Table_LuT_Deelnemers[[#This Row],[DN niet leeg?]]),Table_LuT_Deelnemers[[#This Row],[Kostensystematiek niet leeg?]])</f>
        <v>1</v>
      </c>
      <c r="AM2" s="3" t="b" cm="1">
        <f t="array" aca="1" ref="AM2" ca="1">INDIRECT("'"&amp;Table_LuT_Deelnemers[[#This Row],[ID Deelnemer]]&amp;"'!Check_Vaste_uurtarief")</f>
        <v>1</v>
      </c>
      <c r="AN2" s="3" t="b" cm="1">
        <f t="array" ref="AN2">OR(NOT(Table_LuT_Deelnemers[[#This Row],[Is Penvoerder?]]),NOT(Table_LuT_Deelnemers[[#This Row],[DN niet leeg?]]),AND(OR(Var_Sub.instr.="MKB",Table_LuT_Deelnemers[[#This Row],[Is OO?]]),OR(Var_Sub.instr.&lt;&gt;"MKB",Table_LuT_Deelnemers[[#This Row],[Is MKB?]])))</f>
        <v>1</v>
      </c>
      <c r="AO2" s="3" t="b" cm="1">
        <f t="array" ref="AO2">OR(NOT(Table_LuT_Deelnemers[[#This Row],[DN niet leeg?]]),Var_Sub.instr.&lt;&gt;"MKB",Table_LuT_Deelnemers[[#This Row],[Is OO?]],Table_LuT_Deelnemers[[#This Row],[Is MKB?]])</f>
        <v>1</v>
      </c>
      <c r="AP2" s="3" t="b" cm="1">
        <f t="array" aca="1" ref="AP2" ca="1">IFERROR(Minimale_Cash_CoF&lt;=SUMIFS(Table_LuT_Deelnemers[Cash Bijdrage],Table_LuT_Deelnemers[Type Organisatie],"&lt;&gt;Onderzoeksorganisatie"),FALSE)</f>
        <v>1</v>
      </c>
      <c r="AQ2" s="3" t="b" cm="1">
        <f t="array" aca="1" ref="AQ2" ca="1">IFERROR(Minimale_Cash_CoF&lt;=SUMIFS(Table_LuT_Deelnemers[Cash Ontvangen],Table_LuT_Deelnemers[Type Organisatie],"Onderzoeksorganisatie"),FALSE)</f>
        <v>1</v>
      </c>
      <c r="AR2" s="3" t="b" cm="1">
        <f t="array" aca="1" ref="AR2" ca="1">AND(((Table_LuT_Deelnemers[Cash Bijdrage])=0) + ((Table_LuT_Deelnemers[Cash Ontvangen])=0))</f>
        <v>1</v>
      </c>
      <c r="AS2" s="3" t="b">
        <f ca="1">IFERROR(ABS(Table_LuT_Deelnemers[[#Totals],[Cash Bijdrage]]-Table_LuT_Deelnemers[[#Totals],[Cash Ontvangen]])&lt;1,FALSE)</f>
        <v>1</v>
      </c>
      <c r="AT2" s="3" t="b">
        <f ca="1">IFERROR(Table_LuT_Deelnemers[[#This Row],[Maximale Subsidie FO - HTSM^overheid]]&gt;=Table_LuT_Deelnemers[[#This Row],[Gevraagde Subsidie FO]],FALSE)</f>
        <v>1</v>
      </c>
      <c r="AU2" s="3" t="b">
        <f ca="1">IFERROR(Table_LuT_Deelnemers[[#This Row],[Maximale Subsidie IO - HTSM^overheid]]&gt;=Table_LuT_Deelnemers[[#This Row],[Gevraagde Subsidie IO]],FALSE)</f>
        <v>1</v>
      </c>
      <c r="AV2" s="3" t="b">
        <f ca="1">IFERROR(Table_LuT_Deelnemers[[#This Row],[Maximale Subsidie EO - HTSM^overheid]]&gt;=Table_LuT_Deelnemers[[#This Row],[Gevraagde Subsidie EO]],FALSE)</f>
        <v>1</v>
      </c>
      <c r="AW2" s="3" t="b" cm="1">
        <f t="array" aca="1" ref="AW2"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2" s="3" t="b">
        <f ca="1">IFERROR(Table_LuT_Deelnemers[[#Totals],[Maximale Subsidie Totaal - HTSM]]&gt;=Table_LuT_Deelnemers[[#Totals],[Gevraagde Subsidie Totaal]],FALSE)</f>
        <v>1</v>
      </c>
      <c r="AY2" s="3" t="b" cm="1">
        <f t="array" aca="1" ref="AY2" ca="1">OR(NOT(Table_LuT_Deelnemers[[#This Row],[DN niet leeg?]]),Var_Sub.instr.="MKB",Table_LuT_Deelnemers[[#This Row],[Type Organisatie]]="Onderzoeksorganisatie",Table_LuT_Deelnemers[[#This Row],[Gevraagde Subsidie Totaal]]=0)</f>
        <v>1</v>
      </c>
      <c r="AZ2" s="3" t="b" cm="1">
        <f t="array" aca="1" ref="AZ2"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2" s="3" t="b" cm="1">
        <f t="array" aca="1" ref="BA2" ca="1">IFERROR(AND(ABS((Table_LuT_Deelnemers[Kosten Totaal])-(Table_LuT_Deelnemers[Financiering Totaal]))&lt;1),FALSE)</f>
        <v>1</v>
      </c>
      <c r="BB2" s="3" t="b">
        <f ca="1">IFERROR(ABS(Table_LuT_Deelnemers[[#Totals],[Financiering Totaal]]-Table_LuT_Deelnemers[[#Totals],[Kosten Totaal]])&lt;1,FALSE)</f>
        <v>1</v>
      </c>
      <c r="BC2" s="3" t="b" cm="1">
        <f t="array" aca="1" ref="BC2" ca="1">OR(Var_Sub.instr.&lt;&gt;"MKB",AND(Table_LuT_Deelnemers[Kosten FO]=0,Table_LuT_Deelnemers[Kosten EO]=0))</f>
        <v>1</v>
      </c>
      <c r="BD2" s="3" t="b" cm="1">
        <f t="array" ref="BD2">IF(Var_Sub.instr.="MKB",AND(Table_LuT_Deelnemers[Verhouding SUM kosten OOs / SUM kosten MKBs is OK?]),TRUE)</f>
        <v>1</v>
      </c>
      <c r="BE2" s="3" t="b" cm="1">
        <f t="array" ref="BE2">IF(Var_Sub.instr.="MKB",AND(Table_LuT_Deelnemers[SUM Maximale Subsidie MKBs &lt;= € 300,000, als MKB-call],Table_LuT_Deelnemers[SUM Maximale Subsidie OOs &lt;= € 150,000, als MKB-call]),TRUE)</f>
        <v>1</v>
      </c>
      <c r="BF2" s="3" t="b" cm="1">
        <f t="array" aca="1" ref="BF2" ca="1">AND(( (Table_LuT_Deelnemers[Naam Organisatie]&lt;&gt;"") + ((Table_LuT_Deelnemers[Cash Bijdrage]=0) * (Table_LuT_Deelnemers[Financiering Totaal]=0)) ))</f>
        <v>1</v>
      </c>
      <c r="BG2" s="3" t="b" cm="1">
        <f t="array" aca="1" ref="BG2" ca="1">IFERROR(AND((Table_LuT_Deelnemers[[Cash Bijdrage]:[Gevraagde Subsidie EO]]="") + (ISNUMBER(Table_LuT_Deelnemers[[Cash Bijdrage]:[Gevraagde Subsidie EO]]) * (Table_LuT_Deelnemers[[Cash Bijdrage]:[Gevraagde Subsidie EO]]&gt;=0) * (MOD(Table_LuT_Deelnemers[[Cash Bijdrage]:[Gevraagde Subsidie EO]],1)=0))),FALSE)</f>
        <v>1</v>
      </c>
      <c r="BH2" s="246" t="b">
        <f t="shared" ref="BH2:BH21" si="4">Subsidie_Tot&lt;&gt;0</f>
        <v>0</v>
      </c>
      <c r="BI2" s="19" t="b">
        <f ca="1">AND(Table_LuT_Deelnemers[[#This Row],[Check 005]:[Check 990]])</f>
        <v>0</v>
      </c>
      <c r="BJ2" s="11">
        <f>SUMIFS(Table_LuT_Deelnemers[Kosten Totaal],Table_LuT_Deelnemers[Is MKB?],TRUE)</f>
        <v>0</v>
      </c>
      <c r="BK2" s="11">
        <f>SUMIFS(Table_LuT_Deelnemers[Kosten Totaal],Table_LuT_Deelnemers[Is OO?],TRUE)</f>
        <v>0</v>
      </c>
      <c r="BL2" s="243" t="b" cm="1">
        <f t="array" ref="BL2">IF(Var_Sub.instr.="MKB",IF(Table_LuT_Deelnemers[[#This Row],[SUM Kosten MKBs]]=0,FALSE,Table_LuT_Deelnemers[[#This Row],[SUM Kosten OOs]]/Table_LuT_Deelnemers[[#This Row],[SUM Kosten MKBs]]&lt;=0.5),TRUE)</f>
        <v>1</v>
      </c>
      <c r="BM2" s="8" cm="1">
        <f t="array" aca="1" ref="BM2" ca="1">INDIRECT("Kst_FO_"&amp;Table_LuT_Deelnemers[[#This Row],[Verkorte Referentienaam Deelnemer]])</f>
        <v>0</v>
      </c>
      <c r="BN2" s="8" cm="1">
        <f t="array" aca="1" ref="BN2" ca="1">INDIRECT("Kst_IO_"&amp;Table_LuT_Deelnemers[[#This Row],[Verkorte Referentienaam Deelnemer]])</f>
        <v>0</v>
      </c>
      <c r="BO2" s="8" cm="1">
        <f t="array" aca="1" ref="BO2" ca="1">INDIRECT("Kst_EO_"&amp;Table_LuT_Deelnemers[[#This Row],[Verkorte Referentienaam Deelnemer]])</f>
        <v>0</v>
      </c>
      <c r="BP2" s="8" cm="1">
        <f t="array" aca="1" ref="BP2" ca="1">INDIRECT("Kst_Tot_"&amp;Table_LuT_Deelnemers[[#This Row],[Verkorte Referentienaam Deelnemer]])</f>
        <v>0</v>
      </c>
      <c r="BQ2" s="330" cm="1">
        <f t="array" aca="1" ref="BQ2" ca="1">INDIRECT("'"&amp;A2&amp;"'!Kosten_Apparatuur")</f>
        <v>0</v>
      </c>
      <c r="BR2" s="8" cm="1">
        <f t="array" aca="1" ref="BR2" ca="1">INDIRECT("Max_Sub_FO_"&amp;Table_LuT_Deelnemers[[#This Row],[Verkorte Referentienaam Deelnemer]])</f>
        <v>0</v>
      </c>
      <c r="BS2" s="8" cm="1">
        <f t="array" aca="1" ref="BS2" ca="1">INDIRECT("Max_Sub_IO_"&amp;Table_LuT_Deelnemers[[#This Row],[Verkorte Referentienaam Deelnemer]])</f>
        <v>0</v>
      </c>
      <c r="BT2" s="8" cm="1">
        <f t="array" aca="1" ref="BT2" ca="1">INDIRECT("Max_Sub_EO_"&amp;Table_LuT_Deelnemers[[#This Row],[Verkorte Referentienaam Deelnemer]])</f>
        <v>0</v>
      </c>
      <c r="BU2" s="328" cm="1">
        <f t="array" aca="1" ref="BU2" ca="1">INDIRECT("Max_Sub_"&amp;Table_LuT_Deelnemers[[#This Row],[Verkorte Referentienaam Deelnemer]])</f>
        <v>0</v>
      </c>
      <c r="BV2" s="190" cm="1">
        <f t="array" aca="1" ref="BV2" ca="1">INDIRECT("Cash_"&amp;Table_LuT_Deelnemers[[#This Row],[Verkorte Referentienaam Deelnemer]])</f>
        <v>0</v>
      </c>
      <c r="BW2" s="8" cm="1">
        <f t="array" aca="1" ref="BW2" ca="1">INDIRECT("Cash_Ontvangen_"&amp;Table_LuT_Deelnemers[[#This Row],[Verkorte Referentienaam Deelnemer]])</f>
        <v>0</v>
      </c>
      <c r="BX2" s="8" cm="1">
        <f t="array" aca="1" ref="BX2" ca="1">INDIRECT("In_kind_"&amp;Table_LuT_Deelnemers[[#This Row],[Verkorte Referentienaam Deelnemer]])</f>
        <v>0</v>
      </c>
      <c r="BY2" s="8" cm="1">
        <f t="array" aca="1" ref="BY2" ca="1">INDIRECT("Overige_Subsidies_"&amp;Table_LuT_Deelnemers[[#This Row],[Verkorte Referentienaam Deelnemer]])</f>
        <v>0</v>
      </c>
      <c r="BZ2" s="190" cm="1">
        <f t="array" aca="1" ref="BZ2" ca="1">INDIRECT("Subsidie_FO_"&amp;Table_LuT_Deelnemers[[#This Row],[Verkorte Referentienaam Deelnemer]])</f>
        <v>0</v>
      </c>
      <c r="CA2" s="190" cm="1">
        <f t="array" aca="1" ref="CA2" ca="1">INDIRECT("Subsidie_IO_"&amp;Table_LuT_Deelnemers[[#This Row],[Verkorte Referentienaam Deelnemer]])</f>
        <v>0</v>
      </c>
      <c r="CB2" s="190" cm="1">
        <f t="array" aca="1" ref="CB2" ca="1">INDIRECT("Subsidie_EO_"&amp;Table_LuT_Deelnemers[[#This Row],[Verkorte Referentienaam Deelnemer]])</f>
        <v>0</v>
      </c>
      <c r="CC2" s="8" cm="1">
        <f t="array" aca="1" ref="CC2" ca="1">INDIRECT("Subsidie_"&amp;Table_LuT_Deelnemers[[#This Row],[Verkorte Referentienaam Deelnemer]])</f>
        <v>0</v>
      </c>
      <c r="CD2" s="254" cm="1">
        <f t="array" aca="1" ref="CD2" ca="1">INDIRECT("Fin_Tot_"&amp;Table_LuT_Deelnemers[[#This Row],[Verkorte Referentienaam Deelnemer]])</f>
        <v>0</v>
      </c>
      <c r="CE2" s="8">
        <f ca="1">_xlfn.LET(_xlpm.Var_Delta,Table_LuT_Deelnemers[[#This Row],[Gevraagde Subsidie FO]]-Table_LuT_Deelnemers[[#This Row],[Maximale Subsidie FO - HTSM^overheid]],IF(_xlpm.Var_Delta&gt;0,_xlpm.Var_Delta,0))</f>
        <v>0</v>
      </c>
      <c r="CF2" s="8">
        <f ca="1">_xlfn.LET(_xlpm.Var_Delta,Table_LuT_Deelnemers[[#This Row],[Gevraagde Subsidie IO]]-Table_LuT_Deelnemers[[#This Row],[Maximale Subsidie IO - HTSM^overheid]],IF(_xlpm.Var_Delta&gt;0,_xlpm.Var_Delta,0))</f>
        <v>0</v>
      </c>
      <c r="CG2" s="8">
        <f ca="1">_xlfn.LET(_xlpm.Var_Delta,Table_LuT_Deelnemers[[#This Row],[Gevraagde Subsidie EO]]-Table_LuT_Deelnemers[[#This Row],[Maximale Subsidie EO - HTSM^overheid]],IF(_xlpm.Var_Delta&gt;0,_xlpm.Var_Delta,0))</f>
        <v>0</v>
      </c>
      <c r="CH2" s="8">
        <f ca="1">_xlfn.LET(_xlpm.Var_Delta,Table_LuT_Deelnemers[[#This Row],[Gevraagde Subsidie Totaal]]-Table_LuT_Deelnemers[[#This Row],[Maximale Subsidie Totaal - HTSM^overheid]],IF(_xlpm.Var_Delta&gt;0,_xlpm.Var_Delta,0))</f>
        <v>0</v>
      </c>
      <c r="CI2" s="11">
        <f>SUMIFS(Table_LuT_Deelnemers[Gevraagde Subsidie Totaal],Table_LuT_Deelnemers[Is MKB?],TRUE)</f>
        <v>0</v>
      </c>
      <c r="CJ2" s="11">
        <f>SUMIFS(Table_LuT_Deelnemers[Gevraagde Subsidie Totaal],Table_LuT_Deelnemers[Is OO?],TRUE)</f>
        <v>0</v>
      </c>
      <c r="CK2" s="11" t="b" cm="1">
        <f t="array" ref="CK2">IF(Var_Sub.instr.="MKB",Table_LuT_Deelnemers[[#This Row],[SUM Gevraagde Subsidie MKBs]]&lt;=Var_MaxSub_MKB_call_MKB,TRUE)</f>
        <v>1</v>
      </c>
      <c r="CL2" s="243" t="b" cm="1">
        <f t="array" ref="CL2">IF(Var_Sub.instr.="MKB",Table_LuT_Deelnemers[[#This Row],[SUM Gevraagde Subsidie OOs]]&lt;=Var_MaxSub_MKB_call_OO,TRUE)</f>
        <v>1</v>
      </c>
      <c r="CM2" s="8">
        <f ca="1">SUMIFS(Table_LuT_Begroting_Deelnemers[Maximale Subsidie - overheid],Table_LuT_Begroting_Deelnemers[Verkorte Referentienaam Deelnemer],Table_LuT_Deelnemers[[#This Row],[Verkorte Referentienaam Deelnemer]],Table_LuT_Begroting_Deelnemers[FO | IO | EO],"FO")</f>
        <v>0</v>
      </c>
      <c r="CN2" s="8">
        <f ca="1">SUMIFS(Table_LuT_Begroting_Deelnemers[Maximale Subsidie - overheid],Table_LuT_Begroting_Deelnemers[Verkorte Referentienaam Deelnemer],Table_LuT_Deelnemers[[#This Row],[Verkorte Referentienaam Deelnemer]],Table_LuT_Begroting_Deelnemers[FO | IO | EO],"IO")</f>
        <v>0</v>
      </c>
      <c r="CO2" s="8">
        <f ca="1">SUMIFS(Table_LuT_Begroting_Deelnemers[Maximale Subsidie - overheid],Table_LuT_Begroting_Deelnemers[Verkorte Referentienaam Deelnemer],Table_LuT_Deelnemers[[#This Row],[Verkorte Referentienaam Deelnemer]],Table_LuT_Begroting_Deelnemers[FO | IO | EO],"EO")</f>
        <v>0</v>
      </c>
      <c r="CP2" s="328">
        <f ca="1">SUMIFS(Table_LuT_Begroting_Deelnemers[Maximale Subsidie - overheid],Table_LuT_Begroting_Deelnemers[Verkorte Referentienaam Deelnemer],Table_LuT_Deelnemers[[#This Row],[Verkorte Referentienaam Deelnemer]])</f>
        <v>0</v>
      </c>
      <c r="CQ2" s="8">
        <f ca="1">IF(Table_LuT_Deelnemers[[#This Row],[Is OO?]],Table_LuT_Deelnemers[[#This Row],[Maximale Subsidie FO - overheid]],Table_LuT_Deelnemers[[#This Row],[Maximale Subsidie FO - HTSM]])</f>
        <v>0</v>
      </c>
      <c r="CR2" s="8">
        <f ca="1">IF(Table_LuT_Deelnemers[[#This Row],[Is OO?]],Table_LuT_Deelnemers[[#This Row],[Maximale Subsidie IO - overheid]],Table_LuT_Deelnemers[[#This Row],[Maximale Subsidie IO - HTSM]])</f>
        <v>0</v>
      </c>
      <c r="CS2" s="8">
        <f ca="1">IF(Table_LuT_Deelnemers[[#This Row],[Is OO?]],Table_LuT_Deelnemers[[#This Row],[Maximale Subsidie EO - overheid]],Table_LuT_Deelnemers[[#This Row],[Maximale Subsidie EO - HTSM]])</f>
        <v>0</v>
      </c>
      <c r="CT2" s="328">
        <f ca="1">IF(Table_LuT_Deelnemers[[#This Row],[Is OO?]],Table_LuT_Deelnemers[[#This Row],[Maximale Subsidie Totaal - overheid]],Table_LuT_Deelnemers[[#This Row],[Maximale Subsidie Totaal - HTSM]])</f>
        <v>0</v>
      </c>
      <c r="CU2" s="11">
        <f>SUMIFS(Table_LuT_Deelnemers[Gevraagde Subsidie Totaal],Table_LuT_Deelnemers[Is OO?],TRUE)</f>
        <v>0</v>
      </c>
      <c r="CV2" s="11">
        <f ca="1">SUMIFS(Table_LuT_Begroting_Deelnemers[Maximale Subsidie OO - overheid],Table_LuT_Begroting_Deelnemers[Is OO?],TRUE)</f>
        <v>0</v>
      </c>
      <c r="CW2" s="11">
        <f ca="1">SUMIFS(Table_LuT_Begroting_Deelnemers[Maximale Subsidie OO - HTSM],Table_LuT_Begroting_Deelnemers[Is OO?],TRUE)</f>
        <v>0</v>
      </c>
      <c r="CX2" s="11">
        <f ca="1">SUMIFS(Table_LuT_Begroting_Deelnemers[Maximale Subsidie MKB - HTSM],Table_LuT_Begroting_Deelnemers[Is MKB?],TRUE)</f>
        <v>0</v>
      </c>
      <c r="CY2" s="11">
        <f ca="1">Table_LuT_Deelnemers[[#This Row],[SUM Maximale Subsidie - OO - HTSM]]+Table_LuT_Deelnemers[[#This Row],[SUM Maximale Subsidie - MKB - HTSM]]</f>
        <v>0</v>
      </c>
      <c r="CZ2" s="11">
        <f ca="1">MIN(Table_LuT_Deelnemers[[#This Row],[SUM  Maximale Subsidie - OO - overheid]],Table_LuT_Deelnemers[[#This Row],[SUM Maximale Subsidie - OO+MKB - HTSM]])</f>
        <v>0</v>
      </c>
    </row>
    <row r="3" spans="1:104" ht="15" customHeight="1" x14ac:dyDescent="0.25">
      <c r="A3" s="2" t="s">
        <v>59</v>
      </c>
      <c r="B3" s="2" t="s">
        <v>68</v>
      </c>
      <c r="C3" s="2" t="s">
        <v>87</v>
      </c>
      <c r="D3" s="3" t="str">
        <f>Table_LuT_Deelnemers[[#This Row],[ID Deelnemer]]</f>
        <v>Deelnemer 2</v>
      </c>
      <c r="E3" s="3" t="str" cm="1">
        <f t="array" ref="E3">IF(NOT(Table_LuT_Deelnemers[[#This Row],[DN niet leeg?]]),"",_xlfn.XLOOKUP(Table_LuT_Deelnemers[[#This Row],[ID Deelnemer]],INDEX(Range_Deelnemer_Nrs,,1),INDEX(Range_Deelnemer_Nrs,,2),"",0,1))</f>
        <v/>
      </c>
      <c r="F3" s="3" t="str" cm="1">
        <f t="array" ref="F3">IF(NOT(Table_LuT_Deelnemers[[#This Row],[Type Organisatie niet leeg?]]),"",_xlfn.XLOOKUP(Table_LuT_Deelnemers[[#This Row],[ID Deelnemer]],INDEX(Range_Deelnemer_Nrs,,1),INDEX(Range_Deelnemer_Nrs,,3),"",0,1))</f>
        <v/>
      </c>
      <c r="G3" s="3" t="str" cm="1">
        <f t="array" ref="G3">IF(NOT(Table_LuT_Deelnemers[[#This Row],[Type Organisatie niet leeg?]]),"",_xlfn.XLOOKUP(Table_LuT_Deelnemers[[#This Row],[Type Organisatie]],ValList_Type_Organisatie,Table_Val_List_Type_Org[TO]))</f>
        <v/>
      </c>
      <c r="H3" s="3" t="str" cm="1">
        <f t="array" ref="H3">IF(NOT(Table_LuT_Deelnemers[[#This Row],[KVK niet leeg?]]),"",_xlfn.XLOOKUP(Table_LuT_Deelnemers[[#This Row],[ID Deelnemer]],INDEX(Range_Deelnemer_Nrs,,1),INDEX(Range_Deelnemer_Nrs,,4),"",0,1))</f>
        <v/>
      </c>
      <c r="I3" s="3" t="str" cm="1">
        <f t="array" ref="I3">IF(NOT(Table_LuT_Deelnemers[[#This Row],[DN niet leeg?]]),"",IF(NOT(Table_LuT_Deelnemers[[#This Row],[Is Buitenlandse Organisatie]]),"",_xlfn.XLOOKUP(Table_LuT_Deelnemers[[#This Row],[ID Deelnemer]],INDEX(Range_Deelnemer_Nrs,,1),INDEX(Range_Deelnemer_Nrs,,5),"",0,1)))</f>
        <v/>
      </c>
      <c r="J3" s="3" t="str" cm="1">
        <f t="array" ref="J3">IF(NOT(Table_LuT_Deelnemers[[#This Row],[DN niet leeg?]]),"",_xlfn.XLOOKUP(Table_LuT_Deelnemers[[#This Row],[ID Deelnemer]],INDEX(Range_Deelnemer_Nrs,,1),INDEX(Range_Deelnemer_Nrs,,6),"",0,1)&lt;&gt;"nee")</f>
        <v/>
      </c>
      <c r="K3" s="3" t="str" cm="1">
        <f t="array" ref="K3">IF(NOT(Table_LuT_Deelnemers[[#This Row],[DN niet leeg?]]),"",_xlfn.LET(_xlpm.website,_xlfn.XLOOKUP(Table_LuT_Deelnemers[[#This Row],[ID Deelnemer]],INDEX(Range_Deelnemer_Nrs,,1),INDEX(Range_Deelnemer_Nrs,,7),"",0,1),IF(_xlpm.website=0,"",_xlpm.website)))</f>
        <v/>
      </c>
      <c r="L3" s="19" t="str" cm="1">
        <f t="array" aca="1" ref="L3" ca="1">IF(INDIRECT("'"&amp;Table_LuT_Deelnemers[[#This Row],[Naam Sheet]]&amp;"'!Kostensystematiek")="[Maak een keuze]","",INDIRECT("'"&amp;Table_LuT_Deelnemers[[#This Row],[Naam Sheet]]&amp;"'!Kostensystematiek"))</f>
        <v/>
      </c>
      <c r="M3" s="3" t="b">
        <f>Table_LuT_Deelnemers[[#This Row],[Type Organisatie]]="MKB"</f>
        <v>0</v>
      </c>
      <c r="N3" s="3" t="b">
        <f>Table_LuT_Deelnemers[[#This Row],[Type Organisatie]]="Onderzoeksorganisatie"</f>
        <v>0</v>
      </c>
      <c r="O3" s="3" t="b">
        <f>Table_LuT_Deelnemers[[#This Row],[Type Organisatie]]="Grootbedrijf"</f>
        <v>0</v>
      </c>
      <c r="P3" s="19" t="b">
        <f>Table_LuT_Deelnemers[[#This Row],[Verkorte Referentienaam Deelnemer]]="DN1"</f>
        <v>0</v>
      </c>
      <c r="Q3" s="3" t="b">
        <f t="shared" si="0"/>
        <v>0</v>
      </c>
      <c r="R3" s="3" t="b">
        <f t="shared" si="1"/>
        <v>0</v>
      </c>
      <c r="S3" s="3" t="b" cm="1">
        <f t="array" ref="S3">NOT(ISBLANK(_xlfn.XLOOKUP(Table_LuT_Deelnemers[[#This Row],[ID Deelnemer]],INDEX(Range_Deelnemer_Nrs,,1),INDEX(Range_Deelnemer_Nrs,,2),"",0,1)))</f>
        <v>0</v>
      </c>
      <c r="T3" s="3" t="b" cm="1">
        <f t="array" ref="T3">_xlfn.XLOOKUP(Table_LuT_Deelnemers[[#This Row],[ID Deelnemer]],INDEX(Range_Deelnemer_Nrs,,1),INDEX(Range_Deelnemer_Nrs,,3),"",0,1)&lt;&gt;"[Maak een keuze]"</f>
        <v>0</v>
      </c>
      <c r="U3" s="3" t="b" cm="1">
        <f t="array" ref="U3">NOT(ISBLANK(_xlfn.XLOOKUP(Table_LuT_Deelnemers[[#This Row],[ID Deelnemer]],INDEX(Range_Deelnemer_Nrs,,1),INDEX(Range_Deelnemer_Nrs,,4),"",0,1)))</f>
        <v>0</v>
      </c>
      <c r="V3" s="3" t="b" cm="1">
        <f t="array" ref="V3">NOT(ISBLANK(_xlfn.XLOOKUP(Table_LuT_Deelnemers[[#This Row],[ID Deelnemer]],INDEX(Range_Deelnemer_Nrs,,1),INDEX(Range_Deelnemer_Nrs,,5),"",0,1)))</f>
        <v>0</v>
      </c>
      <c r="W3" s="19" t="b" cm="1">
        <f t="array" aca="1" ref="W3" ca="1">INDIRECT("'"&amp;Table_LuT_Deelnemers[[#This Row],[Naam Sheet]]&amp;"'!Kostensystematiek")&lt;&gt;"[Maak een keuze]"</f>
        <v>0</v>
      </c>
      <c r="X3" s="248" t="b">
        <f>OR(NOT(Table_LuT_Deelnemers[[#This Row],[DN niet leeg?]]),Table_LuT_Deelnemers[[#This Row],[Is OO?]],NOT(Table_LuT_Deelnemers[[#This Row],[Is GB?]]))</f>
        <v>1</v>
      </c>
      <c r="Y3" s="3" t="b">
        <f>OR(Table_LuT_Deelnemers[[#This Row],[Verkorte Referentienaam Deelnemer]]&lt;&gt;"DN1",NOT(Table_LuT_Deelnemers[[#This Row],[Penvoerder niet leeg?]]),AND(Subsidie_instrument&lt;&gt;"[Maak een keuze]",NOT(ISBLANK(Projecttitel)),NOT(ISBLANK(Projectacroniem))))</f>
        <v>1</v>
      </c>
      <c r="Z3" s="3" t="b">
        <f t="shared" si="2"/>
        <v>1</v>
      </c>
      <c r="AA3" s="3" t="b">
        <f t="shared" si="3"/>
        <v>1</v>
      </c>
      <c r="AB3" s="3" t="b">
        <f>OR(Table_LuT_Deelnemers[[#This Row],[Verkorte Referentienaam Deelnemer]]&lt;&gt;"DN1",Table_LuT_Deelnemers[[#This Row],[Penvoerder niet leeg?]],NOT(Table_LuT_Deelnemers[[#This Row],[DN2 niet leeg?]]))</f>
        <v>1</v>
      </c>
      <c r="AC3" s="3" t="b">
        <f>OR(Table_LuT_Deelnemers[[#This Row],[Verkorte Referentienaam Deelnemer]]&lt;&gt;"DN2",NOT(_xlfn.XOR(Table_LuT_Deelnemers[[#This Row],[Penvoerder niet leeg?]],Table_LuT_Deelnemers[[#This Row],[DN2 niet leeg?]])))</f>
        <v>1</v>
      </c>
      <c r="AD3" s="3" t="b">
        <f>OR(Table_LuT_Deelnemers[[#This Row],[Verkorte Referentienaam Deelnemer]]="DN1",NOT(Table_LuT_Deelnemers[[#This Row],[DN niet leeg?]]),AND(S$2:S2))</f>
        <v>1</v>
      </c>
      <c r="AE3"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3" s="3" t="b">
        <f>OR(NOT(Table_LuT_Deelnemers[[#This Row],[DN niet leeg?]]),NOT(Table_LuT_Deelnemers[[#This Row],[DN2 niet leeg?]]),OR(Table_LuT_Deelnemers[Is OO?]))</f>
        <v>1</v>
      </c>
      <c r="AG3" s="3" t="b">
        <f>OR(Table_LuT_Deelnemers[[#This Row],[Verkorte Referentienaam Deelnemer]]="DN1",NOT(_xlfn.XOR(Table_LuT_Deelnemers[[#This Row],[DN niet leeg?]],Table_LuT_Deelnemers[[#This Row],[Type Organisatie niet leeg?]])))</f>
        <v>1</v>
      </c>
      <c r="AH3" s="3" t="b">
        <f>OR(Table_LuT_Deelnemers[[#This Row],[Verkorte Referentienaam Deelnemer]]&lt;&gt;"DN1",NOT(Table_LuT_Deelnemers[[#This Row],[Penvoerder niet leeg?]]),NOT(Table_LuT_Deelnemers[[#This Row],[Is Buitenlandse Organisatie]]))</f>
        <v>1</v>
      </c>
      <c r="AI3" s="3" t="b">
        <f>OR(NOT(Table_LuT_Deelnemers[[#This Row],[DN niet leeg?]]),Table_LuT_Deelnemers[[#This Row],[Is Buitenlandse Organisatie]],Table_LuT_Deelnemers[[#This Row],[KVK niet leeg?]])</f>
        <v>1</v>
      </c>
      <c r="AJ3" s="3" t="b">
        <f>OR(NOT(Table_LuT_Deelnemers[[#This Row],[DN niet leeg?]]),Table_LuT_Deelnemers[[#This Row],[Is Buitenlandse Organisatie]],AND(Table_LuT_Deelnemers[[#This Row],[KVK niet leeg?]],LEN(Table_LuT_Deelnemers[[#This Row],[KVK-nummer]])&lt;=8))</f>
        <v>1</v>
      </c>
      <c r="AK3" s="3" t="b">
        <f>OR(NOT(Table_LuT_Deelnemers[[#This Row],[DN niet leeg?]]),NOT(Table_LuT_Deelnemers[[#This Row],[Is Buitenlandse Organisatie]]),NOT(Table_LuT_Deelnemers[[#This Row],[KVK niet leeg?]]))</f>
        <v>1</v>
      </c>
      <c r="AL3" s="3" t="b">
        <f ca="1">OR(NOT(Table_LuT_Deelnemers[[#This Row],[DN niet leeg?]]),Table_LuT_Deelnemers[[#This Row],[Kostensystematiek niet leeg?]])</f>
        <v>1</v>
      </c>
      <c r="AM3" s="3" t="b" cm="1">
        <f t="array" aca="1" ref="AM3" ca="1">INDIRECT("'"&amp;Table_LuT_Deelnemers[[#This Row],[ID Deelnemer]]&amp;"'!Check_Vaste_uurtarief")</f>
        <v>1</v>
      </c>
      <c r="AN3" s="3" t="b" cm="1">
        <f t="array" ref="AN3">OR(NOT(Table_LuT_Deelnemers[[#This Row],[Is Penvoerder?]]),NOT(Table_LuT_Deelnemers[[#This Row],[DN niet leeg?]]),AND(OR(Var_Sub.instr.="MKB",Table_LuT_Deelnemers[[#This Row],[Is OO?]]),OR(Var_Sub.instr.&lt;&gt;"MKB",Table_LuT_Deelnemers[[#This Row],[Is MKB?]])))</f>
        <v>1</v>
      </c>
      <c r="AO3" s="3" t="b" cm="1">
        <f t="array" ref="AO3">OR(NOT(Table_LuT_Deelnemers[[#This Row],[DN niet leeg?]]),Var_Sub.instr.&lt;&gt;"MKB",Table_LuT_Deelnemers[[#This Row],[Is OO?]],Table_LuT_Deelnemers[[#This Row],[Is MKB?]])</f>
        <v>1</v>
      </c>
      <c r="AP3" s="3" t="b" cm="1">
        <f t="array" aca="1" ref="AP3" ca="1">IFERROR(Minimale_Cash_CoF&lt;=SUMIFS(Table_LuT_Deelnemers[Cash Bijdrage],Table_LuT_Deelnemers[Type Organisatie],"&lt;&gt;Onderzoeksorganisatie"),FALSE)</f>
        <v>1</v>
      </c>
      <c r="AQ3" s="3" t="b" cm="1">
        <f t="array" aca="1" ref="AQ3" ca="1">IFERROR(Minimale_Cash_CoF&lt;=SUMIFS(Table_LuT_Deelnemers[Cash Ontvangen],Table_LuT_Deelnemers[Type Organisatie],"Onderzoeksorganisatie"),FALSE)</f>
        <v>1</v>
      </c>
      <c r="AR3" s="3" t="b" cm="1">
        <f t="array" aca="1" ref="AR3" ca="1">AND(((Table_LuT_Deelnemers[Cash Bijdrage])=0) + ((Table_LuT_Deelnemers[Cash Ontvangen])=0))</f>
        <v>1</v>
      </c>
      <c r="AS3" s="3" t="b">
        <f ca="1">IFERROR(ABS(Table_LuT_Deelnemers[[#Totals],[Cash Bijdrage]]-Table_LuT_Deelnemers[[#Totals],[Cash Ontvangen]])&lt;1,FALSE)</f>
        <v>1</v>
      </c>
      <c r="AT3" s="3" t="b">
        <f ca="1">IFERROR(Table_LuT_Deelnemers[[#This Row],[Maximale Subsidie FO - HTSM^overheid]]&gt;=Table_LuT_Deelnemers[[#This Row],[Gevraagde Subsidie FO]],FALSE)</f>
        <v>1</v>
      </c>
      <c r="AU3" s="3" t="b">
        <f ca="1">IFERROR(Table_LuT_Deelnemers[[#This Row],[Maximale Subsidie IO - HTSM^overheid]]&gt;=Table_LuT_Deelnemers[[#This Row],[Gevraagde Subsidie IO]],FALSE)</f>
        <v>1</v>
      </c>
      <c r="AV3" s="3" t="b">
        <f ca="1">IFERROR(Table_LuT_Deelnemers[[#This Row],[Maximale Subsidie EO - HTSM^overheid]]&gt;=Table_LuT_Deelnemers[[#This Row],[Gevraagde Subsidie EO]],FALSE)</f>
        <v>1</v>
      </c>
      <c r="AW3" s="3" t="b" cm="1">
        <f t="array" aca="1" ref="AW3"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3" s="3" t="b">
        <f ca="1">IFERROR(Table_LuT_Deelnemers[[#Totals],[Maximale Subsidie Totaal - HTSM]]&gt;=Table_LuT_Deelnemers[[#Totals],[Gevraagde Subsidie Totaal]],FALSE)</f>
        <v>1</v>
      </c>
      <c r="AY3" s="3" t="b" cm="1">
        <f t="array" aca="1" ref="AY3" ca="1">OR(NOT(Table_LuT_Deelnemers[[#This Row],[DN niet leeg?]]),Var_Sub.instr.="MKB",Table_LuT_Deelnemers[[#This Row],[Type Organisatie]]="Onderzoeksorganisatie",Table_LuT_Deelnemers[[#This Row],[Gevraagde Subsidie Totaal]]=0)</f>
        <v>1</v>
      </c>
      <c r="AZ3" s="3" t="b" cm="1">
        <f t="array" aca="1" ref="AZ3"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3" s="3" t="b" cm="1">
        <f t="array" aca="1" ref="BA3" ca="1">IFERROR(AND(ABS((Table_LuT_Deelnemers[Kosten Totaal])-(Table_LuT_Deelnemers[Financiering Totaal]))&lt;1),FALSE)</f>
        <v>1</v>
      </c>
      <c r="BB3" s="3" t="b">
        <f ca="1">IFERROR(ABS(Table_LuT_Deelnemers[[#Totals],[Financiering Totaal]]-Table_LuT_Deelnemers[[#Totals],[Kosten Totaal]])&lt;1,FALSE)</f>
        <v>1</v>
      </c>
      <c r="BC3" s="3" t="b" cm="1">
        <f t="array" aca="1" ref="BC3" ca="1">OR(Var_Sub.instr.&lt;&gt;"MKB",AND(Table_LuT_Deelnemers[Kosten FO]=0,Table_LuT_Deelnemers[Kosten EO]=0))</f>
        <v>1</v>
      </c>
      <c r="BD3" s="3" t="b" cm="1">
        <f t="array" ref="BD3">IF(Var_Sub.instr.="MKB",AND(Table_LuT_Deelnemers[Verhouding SUM kosten OOs / SUM kosten MKBs is OK?]),TRUE)</f>
        <v>1</v>
      </c>
      <c r="BE3" s="3" t="b" cm="1">
        <f t="array" ref="BE3">IF(Var_Sub.instr.="MKB",AND(Table_LuT_Deelnemers[SUM Maximale Subsidie MKBs &lt;= € 300,000, als MKB-call],Table_LuT_Deelnemers[SUM Maximale Subsidie OOs &lt;= € 150,000, als MKB-call]),TRUE)</f>
        <v>1</v>
      </c>
      <c r="BF3" s="3" t="b" cm="1">
        <f t="array" aca="1" ref="BF3" ca="1">AND(( (Table_LuT_Deelnemers[Naam Organisatie]&lt;&gt;"") + ((Table_LuT_Deelnemers[Cash Bijdrage]=0) * (Table_LuT_Deelnemers[Financiering Totaal]=0)) ))</f>
        <v>1</v>
      </c>
      <c r="BG3" s="3" t="b" cm="1">
        <f t="array" aca="1" ref="BG3" ca="1">IFERROR(AND((Table_LuT_Deelnemers[[Cash Bijdrage]:[Gevraagde Subsidie EO]]="") + (ISNUMBER(Table_LuT_Deelnemers[[Cash Bijdrage]:[Gevraagde Subsidie EO]]) * (Table_LuT_Deelnemers[[Cash Bijdrage]:[Gevraagde Subsidie EO]]&gt;=0) * (MOD(Table_LuT_Deelnemers[[Cash Bijdrage]:[Gevraagde Subsidie EO]],1)=0))),FALSE)</f>
        <v>1</v>
      </c>
      <c r="BH3" s="246" t="b">
        <f t="shared" si="4"/>
        <v>0</v>
      </c>
      <c r="BI3" s="19" t="b">
        <f ca="1">AND(Table_LuT_Deelnemers[[#This Row],[Check 005]:[Check 990]])</f>
        <v>0</v>
      </c>
      <c r="BJ3" s="11">
        <f>SUMIFS(Table_LuT_Deelnemers[Kosten Totaal],Table_LuT_Deelnemers[Is MKB?],TRUE)</f>
        <v>0</v>
      </c>
      <c r="BK3" s="11">
        <f>SUMIFS(Table_LuT_Deelnemers[Kosten Totaal],Table_LuT_Deelnemers[Is OO?],TRUE)</f>
        <v>0</v>
      </c>
      <c r="BL3" s="243" t="b" cm="1">
        <f t="array" ref="BL3">IF(Var_Sub.instr.="MKB",IF(Table_LuT_Deelnemers[[#This Row],[SUM Kosten MKBs]]=0,FALSE,Table_LuT_Deelnemers[[#This Row],[SUM Kosten OOs]]/Table_LuT_Deelnemers[[#This Row],[SUM Kosten MKBs]]&lt;=0.5),TRUE)</f>
        <v>1</v>
      </c>
      <c r="BM3" s="8" cm="1">
        <f t="array" aca="1" ref="BM3" ca="1">INDIRECT("Kst_FO_"&amp;Table_LuT_Deelnemers[[#This Row],[Verkorte Referentienaam Deelnemer]])</f>
        <v>0</v>
      </c>
      <c r="BN3" s="8" cm="1">
        <f t="array" aca="1" ref="BN3" ca="1">INDIRECT("Kst_IO_"&amp;Table_LuT_Deelnemers[[#This Row],[Verkorte Referentienaam Deelnemer]])</f>
        <v>0</v>
      </c>
      <c r="BO3" s="8" cm="1">
        <f t="array" aca="1" ref="BO3" ca="1">INDIRECT("Kst_EO_"&amp;Table_LuT_Deelnemers[[#This Row],[Verkorte Referentienaam Deelnemer]])</f>
        <v>0</v>
      </c>
      <c r="BP3" s="8" cm="1">
        <f t="array" aca="1" ref="BP3" ca="1">INDIRECT("Kst_Tot_"&amp;Table_LuT_Deelnemers[[#This Row],[Verkorte Referentienaam Deelnemer]])</f>
        <v>0</v>
      </c>
      <c r="BQ3" s="330" cm="1">
        <f t="array" aca="1" ref="BQ3" ca="1">INDIRECT("'"&amp;A3&amp;"'!Kosten_Apparatuur")</f>
        <v>0</v>
      </c>
      <c r="BR3" s="8" cm="1">
        <f t="array" aca="1" ref="BR3" ca="1">INDIRECT("Max_Sub_FO_"&amp;Table_LuT_Deelnemers[[#This Row],[Verkorte Referentienaam Deelnemer]])</f>
        <v>0</v>
      </c>
      <c r="BS3" s="8" cm="1">
        <f t="array" aca="1" ref="BS3" ca="1">INDIRECT("Max_Sub_IO_"&amp;Table_LuT_Deelnemers[[#This Row],[Verkorte Referentienaam Deelnemer]])</f>
        <v>0</v>
      </c>
      <c r="BT3" s="8" cm="1">
        <f t="array" aca="1" ref="BT3" ca="1">INDIRECT("Max_Sub_EO_"&amp;Table_LuT_Deelnemers[[#This Row],[Verkorte Referentienaam Deelnemer]])</f>
        <v>0</v>
      </c>
      <c r="BU3" s="328" cm="1">
        <f t="array" aca="1" ref="BU3" ca="1">INDIRECT("Max_Sub_"&amp;Table_LuT_Deelnemers[[#This Row],[Verkorte Referentienaam Deelnemer]])</f>
        <v>0</v>
      </c>
      <c r="BV3" s="190" cm="1">
        <f t="array" aca="1" ref="BV3" ca="1">INDIRECT("Cash_"&amp;Table_LuT_Deelnemers[[#This Row],[Verkorte Referentienaam Deelnemer]])</f>
        <v>0</v>
      </c>
      <c r="BW3" s="8" cm="1">
        <f t="array" aca="1" ref="BW3" ca="1">INDIRECT("Cash_Ontvangen_"&amp;Table_LuT_Deelnemers[[#This Row],[Verkorte Referentienaam Deelnemer]])</f>
        <v>0</v>
      </c>
      <c r="BX3" s="8" cm="1">
        <f t="array" aca="1" ref="BX3" ca="1">INDIRECT("In_kind_"&amp;Table_LuT_Deelnemers[[#This Row],[Verkorte Referentienaam Deelnemer]])</f>
        <v>0</v>
      </c>
      <c r="BY3" s="8" cm="1">
        <f t="array" aca="1" ref="BY3" ca="1">INDIRECT("Overige_Subsidies_"&amp;Table_LuT_Deelnemers[[#This Row],[Verkorte Referentienaam Deelnemer]])</f>
        <v>0</v>
      </c>
      <c r="BZ3" s="190" cm="1">
        <f t="array" aca="1" ref="BZ3" ca="1">INDIRECT("Subsidie_FO_"&amp;Table_LuT_Deelnemers[[#This Row],[Verkorte Referentienaam Deelnemer]])</f>
        <v>0</v>
      </c>
      <c r="CA3" s="190" cm="1">
        <f t="array" aca="1" ref="CA3" ca="1">INDIRECT("Subsidie_IO_"&amp;Table_LuT_Deelnemers[[#This Row],[Verkorte Referentienaam Deelnemer]])</f>
        <v>0</v>
      </c>
      <c r="CB3" s="190" cm="1">
        <f t="array" aca="1" ref="CB3" ca="1">INDIRECT("Subsidie_EO_"&amp;Table_LuT_Deelnemers[[#This Row],[Verkorte Referentienaam Deelnemer]])</f>
        <v>0</v>
      </c>
      <c r="CC3" s="8" cm="1">
        <f t="array" aca="1" ref="CC3" ca="1">INDIRECT("Subsidie_"&amp;Table_LuT_Deelnemers[[#This Row],[Verkorte Referentienaam Deelnemer]])</f>
        <v>0</v>
      </c>
      <c r="CD3" s="254" cm="1">
        <f t="array" aca="1" ref="CD3" ca="1">INDIRECT("Fin_Tot_"&amp;Table_LuT_Deelnemers[[#This Row],[Verkorte Referentienaam Deelnemer]])</f>
        <v>0</v>
      </c>
      <c r="CE3" s="8">
        <f ca="1">_xlfn.LET(_xlpm.Var_Delta,Table_LuT_Deelnemers[[#This Row],[Gevraagde Subsidie FO]]-Table_LuT_Deelnemers[[#This Row],[Maximale Subsidie FO - HTSM^overheid]],IF(_xlpm.Var_Delta&gt;0,_xlpm.Var_Delta,0))</f>
        <v>0</v>
      </c>
      <c r="CF3" s="8">
        <f ca="1">_xlfn.LET(_xlpm.Var_Delta,Table_LuT_Deelnemers[[#This Row],[Gevraagde Subsidie IO]]-Table_LuT_Deelnemers[[#This Row],[Maximale Subsidie IO - HTSM^overheid]],IF(_xlpm.Var_Delta&gt;0,_xlpm.Var_Delta,0))</f>
        <v>0</v>
      </c>
      <c r="CG3" s="8">
        <f ca="1">_xlfn.LET(_xlpm.Var_Delta,Table_LuT_Deelnemers[[#This Row],[Gevraagde Subsidie EO]]-Table_LuT_Deelnemers[[#This Row],[Maximale Subsidie EO - HTSM^overheid]],IF(_xlpm.Var_Delta&gt;0,_xlpm.Var_Delta,0))</f>
        <v>0</v>
      </c>
      <c r="CH3" s="8">
        <f ca="1">_xlfn.LET(_xlpm.Var_Delta,Table_LuT_Deelnemers[[#This Row],[Gevraagde Subsidie Totaal]]-Table_LuT_Deelnemers[[#This Row],[Maximale Subsidie Totaal - HTSM^overheid]],IF(_xlpm.Var_Delta&gt;0,_xlpm.Var_Delta,0))</f>
        <v>0</v>
      </c>
      <c r="CI3" s="11">
        <f>SUMIFS(Table_LuT_Deelnemers[Gevraagde Subsidie Totaal],Table_LuT_Deelnemers[Is MKB?],TRUE)</f>
        <v>0</v>
      </c>
      <c r="CJ3" s="11">
        <f>SUMIFS(Table_LuT_Deelnemers[Gevraagde Subsidie Totaal],Table_LuT_Deelnemers[Is OO?],TRUE)</f>
        <v>0</v>
      </c>
      <c r="CK3" s="11" t="b" cm="1">
        <f t="array" ref="CK3">IF(Var_Sub.instr.="MKB",Table_LuT_Deelnemers[[#This Row],[SUM Gevraagde Subsidie MKBs]]&lt;=Var_MaxSub_MKB_call_MKB,TRUE)</f>
        <v>1</v>
      </c>
      <c r="CL3" s="243" t="b" cm="1">
        <f t="array" ref="CL3">IF(Var_Sub.instr.="MKB",Table_LuT_Deelnemers[[#This Row],[SUM Gevraagde Subsidie OOs]]&lt;=Var_MaxSub_MKB_call_OO,TRUE)</f>
        <v>1</v>
      </c>
      <c r="CM3" s="8">
        <f ca="1">SUMIFS(Table_LuT_Begroting_Deelnemers[Maximale Subsidie - overheid],Table_LuT_Begroting_Deelnemers[Verkorte Referentienaam Deelnemer],Table_LuT_Deelnemers[[#This Row],[Verkorte Referentienaam Deelnemer]],Table_LuT_Begroting_Deelnemers[FO | IO | EO],"FO")</f>
        <v>0</v>
      </c>
      <c r="CN3" s="8">
        <f ca="1">SUMIFS(Table_LuT_Begroting_Deelnemers[Maximale Subsidie - overheid],Table_LuT_Begroting_Deelnemers[Verkorte Referentienaam Deelnemer],Table_LuT_Deelnemers[[#This Row],[Verkorte Referentienaam Deelnemer]],Table_LuT_Begroting_Deelnemers[FO | IO | EO],"IO")</f>
        <v>0</v>
      </c>
      <c r="CO3" s="8">
        <f ca="1">SUMIFS(Table_LuT_Begroting_Deelnemers[Maximale Subsidie - overheid],Table_LuT_Begroting_Deelnemers[Verkorte Referentienaam Deelnemer],Table_LuT_Deelnemers[[#This Row],[Verkorte Referentienaam Deelnemer]],Table_LuT_Begroting_Deelnemers[FO | IO | EO],"EO")</f>
        <v>0</v>
      </c>
      <c r="CP3" s="328">
        <f ca="1">SUMIFS(Table_LuT_Begroting_Deelnemers[Maximale Subsidie - overheid],Table_LuT_Begroting_Deelnemers[Verkorte Referentienaam Deelnemer],Table_LuT_Deelnemers[[#This Row],[Verkorte Referentienaam Deelnemer]])</f>
        <v>0</v>
      </c>
      <c r="CQ3" s="8">
        <f ca="1">IF(Table_LuT_Deelnemers[[#This Row],[Is OO?]],Table_LuT_Deelnemers[[#This Row],[Maximale Subsidie FO - overheid]],Table_LuT_Deelnemers[[#This Row],[Maximale Subsidie FO - HTSM]])</f>
        <v>0</v>
      </c>
      <c r="CR3" s="8">
        <f ca="1">IF(Table_LuT_Deelnemers[[#This Row],[Is OO?]],Table_LuT_Deelnemers[[#This Row],[Maximale Subsidie IO - overheid]],Table_LuT_Deelnemers[[#This Row],[Maximale Subsidie IO - HTSM]])</f>
        <v>0</v>
      </c>
      <c r="CS3" s="8">
        <f ca="1">IF(Table_LuT_Deelnemers[[#This Row],[Is OO?]],Table_LuT_Deelnemers[[#This Row],[Maximale Subsidie EO - overheid]],Table_LuT_Deelnemers[[#This Row],[Maximale Subsidie EO - HTSM]])</f>
        <v>0</v>
      </c>
      <c r="CT3" s="328">
        <f ca="1">IF(Table_LuT_Deelnemers[[#This Row],[Is OO?]],Table_LuT_Deelnemers[[#This Row],[Maximale Subsidie Totaal - overheid]],Table_LuT_Deelnemers[[#This Row],[Maximale Subsidie Totaal - HTSM]])</f>
        <v>0</v>
      </c>
      <c r="CU3" s="11">
        <f>SUMIFS(Table_LuT_Deelnemers[Gevraagde Subsidie Totaal],Table_LuT_Deelnemers[Is OO?],TRUE)</f>
        <v>0</v>
      </c>
      <c r="CV3" s="11">
        <f ca="1">SUMIFS(Table_LuT_Begroting_Deelnemers[Maximale Subsidie OO - overheid],Table_LuT_Begroting_Deelnemers[Is OO?],TRUE)</f>
        <v>0</v>
      </c>
      <c r="CW3" s="11">
        <f ca="1">SUMIFS(Table_LuT_Begroting_Deelnemers[Maximale Subsidie OO - HTSM],Table_LuT_Begroting_Deelnemers[Is OO?],TRUE)</f>
        <v>0</v>
      </c>
      <c r="CX3" s="11">
        <f ca="1">SUMIFS(Table_LuT_Begroting_Deelnemers[Maximale Subsidie MKB - HTSM],Table_LuT_Begroting_Deelnemers[Is MKB?],TRUE)</f>
        <v>0</v>
      </c>
      <c r="CY3" s="11">
        <f ca="1">Table_LuT_Deelnemers[[#This Row],[SUM Maximale Subsidie - OO - HTSM]]+Table_LuT_Deelnemers[[#This Row],[SUM Maximale Subsidie - MKB - HTSM]]</f>
        <v>0</v>
      </c>
      <c r="CZ3" s="11">
        <f ca="1">MIN(Table_LuT_Deelnemers[[#This Row],[SUM  Maximale Subsidie - OO - overheid]],Table_LuT_Deelnemers[[#This Row],[SUM Maximale Subsidie - OO+MKB - HTSM]])</f>
        <v>0</v>
      </c>
    </row>
    <row r="4" spans="1:104" ht="15" customHeight="1" x14ac:dyDescent="0.25">
      <c r="A4" s="2" t="s">
        <v>60</v>
      </c>
      <c r="B4" s="2" t="s">
        <v>69</v>
      </c>
      <c r="C4" s="2" t="s">
        <v>88</v>
      </c>
      <c r="D4" s="3" t="str">
        <f>Table_LuT_Deelnemers[[#This Row],[ID Deelnemer]]</f>
        <v>Deelnemer 3</v>
      </c>
      <c r="E4" s="3" t="str" cm="1">
        <f t="array" ref="E4">IF(NOT(Table_LuT_Deelnemers[[#This Row],[DN niet leeg?]]),"",_xlfn.XLOOKUP(Table_LuT_Deelnemers[[#This Row],[ID Deelnemer]],INDEX(Range_Deelnemer_Nrs,,1),INDEX(Range_Deelnemer_Nrs,,2),"",0,1))</f>
        <v/>
      </c>
      <c r="F4" s="3" t="str" cm="1">
        <f t="array" ref="F4">IF(NOT(Table_LuT_Deelnemers[[#This Row],[Type Organisatie niet leeg?]]),"",_xlfn.XLOOKUP(Table_LuT_Deelnemers[[#This Row],[ID Deelnemer]],INDEX(Range_Deelnemer_Nrs,,1),INDEX(Range_Deelnemer_Nrs,,3),"",0,1))</f>
        <v/>
      </c>
      <c r="G4" s="3" t="str" cm="1">
        <f t="array" ref="G4">IF(NOT(Table_LuT_Deelnemers[[#This Row],[Type Organisatie niet leeg?]]),"",_xlfn.XLOOKUP(Table_LuT_Deelnemers[[#This Row],[Type Organisatie]],ValList_Type_Organisatie,Table_Val_List_Type_Org[TO]))</f>
        <v/>
      </c>
      <c r="H4" s="3" t="str" cm="1">
        <f t="array" ref="H4">IF(NOT(Table_LuT_Deelnemers[[#This Row],[KVK niet leeg?]]),"",_xlfn.XLOOKUP(Table_LuT_Deelnemers[[#This Row],[ID Deelnemer]],INDEX(Range_Deelnemer_Nrs,,1),INDEX(Range_Deelnemer_Nrs,,4),"",0,1))</f>
        <v/>
      </c>
      <c r="I4" s="3" t="str" cm="1">
        <f t="array" ref="I4">IF(NOT(Table_LuT_Deelnemers[[#This Row],[DN niet leeg?]]),"",IF(NOT(Table_LuT_Deelnemers[[#This Row],[Is Buitenlandse Organisatie]]),"",_xlfn.XLOOKUP(Table_LuT_Deelnemers[[#This Row],[ID Deelnemer]],INDEX(Range_Deelnemer_Nrs,,1),INDEX(Range_Deelnemer_Nrs,,5),"",0,1)))</f>
        <v/>
      </c>
      <c r="J4" s="3" t="str" cm="1">
        <f t="array" ref="J4">IF(NOT(Table_LuT_Deelnemers[[#This Row],[DN niet leeg?]]),"",_xlfn.XLOOKUP(Table_LuT_Deelnemers[[#This Row],[ID Deelnemer]],INDEX(Range_Deelnemer_Nrs,,1),INDEX(Range_Deelnemer_Nrs,,6),"",0,1)&lt;&gt;"nee")</f>
        <v/>
      </c>
      <c r="K4" s="3" t="str" cm="1">
        <f t="array" ref="K4">IF(NOT(Table_LuT_Deelnemers[[#This Row],[DN niet leeg?]]),"",_xlfn.LET(_xlpm.website,_xlfn.XLOOKUP(Table_LuT_Deelnemers[[#This Row],[ID Deelnemer]],INDEX(Range_Deelnemer_Nrs,,1),INDEX(Range_Deelnemer_Nrs,,7),"",0,1),IF(_xlpm.website=0,"",_xlpm.website)))</f>
        <v/>
      </c>
      <c r="L4" s="19" t="str" cm="1">
        <f t="array" aca="1" ref="L4" ca="1">IF(INDIRECT("'"&amp;Table_LuT_Deelnemers[[#This Row],[Naam Sheet]]&amp;"'!Kostensystematiek")="[Maak een keuze]","",INDIRECT("'"&amp;Table_LuT_Deelnemers[[#This Row],[Naam Sheet]]&amp;"'!Kostensystematiek"))</f>
        <v/>
      </c>
      <c r="M4" s="3" t="b">
        <f>Table_LuT_Deelnemers[[#This Row],[Type Organisatie]]="MKB"</f>
        <v>0</v>
      </c>
      <c r="N4" s="3" t="b">
        <f>Table_LuT_Deelnemers[[#This Row],[Type Organisatie]]="Onderzoeksorganisatie"</f>
        <v>0</v>
      </c>
      <c r="O4" s="3" t="b">
        <f>Table_LuT_Deelnemers[[#This Row],[Type Organisatie]]="Grootbedrijf"</f>
        <v>0</v>
      </c>
      <c r="P4" s="19" t="b">
        <f>Table_LuT_Deelnemers[[#This Row],[Verkorte Referentienaam Deelnemer]]="DN1"</f>
        <v>0</v>
      </c>
      <c r="Q4" s="3" t="b">
        <f t="shared" si="0"/>
        <v>0</v>
      </c>
      <c r="R4" s="3" t="b">
        <f t="shared" si="1"/>
        <v>0</v>
      </c>
      <c r="S4" s="3" t="b" cm="1">
        <f t="array" ref="S4">NOT(ISBLANK(_xlfn.XLOOKUP(Table_LuT_Deelnemers[[#This Row],[ID Deelnemer]],INDEX(Range_Deelnemer_Nrs,,1),INDEX(Range_Deelnemer_Nrs,,2),"",0,1)))</f>
        <v>0</v>
      </c>
      <c r="T4" s="3" t="b" cm="1">
        <f t="array" ref="T4">_xlfn.XLOOKUP(Table_LuT_Deelnemers[[#This Row],[ID Deelnemer]],INDEX(Range_Deelnemer_Nrs,,1),INDEX(Range_Deelnemer_Nrs,,3),"",0,1)&lt;&gt;"[Maak een keuze]"</f>
        <v>0</v>
      </c>
      <c r="U4" s="3" t="b" cm="1">
        <f t="array" ref="U4">NOT(ISBLANK(_xlfn.XLOOKUP(Table_LuT_Deelnemers[[#This Row],[ID Deelnemer]],INDEX(Range_Deelnemer_Nrs,,1),INDEX(Range_Deelnemer_Nrs,,4),"",0,1)))</f>
        <v>0</v>
      </c>
      <c r="V4" s="3" t="b" cm="1">
        <f t="array" ref="V4">NOT(ISBLANK(_xlfn.XLOOKUP(Table_LuT_Deelnemers[[#This Row],[ID Deelnemer]],INDEX(Range_Deelnemer_Nrs,,1),INDEX(Range_Deelnemer_Nrs,,5),"",0,1)))</f>
        <v>0</v>
      </c>
      <c r="W4" s="19" t="b" cm="1">
        <f t="array" aca="1" ref="W4" ca="1">INDIRECT("'"&amp;Table_LuT_Deelnemers[[#This Row],[Naam Sheet]]&amp;"'!Kostensystematiek")&lt;&gt;"[Maak een keuze]"</f>
        <v>0</v>
      </c>
      <c r="X4" s="248" t="b">
        <f>OR(NOT(Table_LuT_Deelnemers[[#This Row],[DN niet leeg?]]),Table_LuT_Deelnemers[[#This Row],[Is OO?]],NOT(Table_LuT_Deelnemers[[#This Row],[Is GB?]]))</f>
        <v>1</v>
      </c>
      <c r="Y4" s="3" t="b">
        <f>OR(Table_LuT_Deelnemers[[#This Row],[Verkorte Referentienaam Deelnemer]]&lt;&gt;"DN1",NOT(Table_LuT_Deelnemers[[#This Row],[Penvoerder niet leeg?]]),AND(Subsidie_instrument&lt;&gt;"[Maak een keuze]",NOT(ISBLANK(Projecttitel)),NOT(ISBLANK(Projectacroniem))))</f>
        <v>1</v>
      </c>
      <c r="Z4" s="3" t="b">
        <f t="shared" si="2"/>
        <v>1</v>
      </c>
      <c r="AA4" s="3" t="b">
        <f t="shared" si="3"/>
        <v>1</v>
      </c>
      <c r="AB4" s="3" t="b">
        <f>OR(Table_LuT_Deelnemers[[#This Row],[Verkorte Referentienaam Deelnemer]]&lt;&gt;"DN1",Table_LuT_Deelnemers[[#This Row],[Penvoerder niet leeg?]],NOT(Table_LuT_Deelnemers[[#This Row],[DN2 niet leeg?]]))</f>
        <v>1</v>
      </c>
      <c r="AC4" s="3" t="b">
        <f>OR(Table_LuT_Deelnemers[[#This Row],[Verkorte Referentienaam Deelnemer]]&lt;&gt;"DN2",NOT(_xlfn.XOR(Table_LuT_Deelnemers[[#This Row],[Penvoerder niet leeg?]],Table_LuT_Deelnemers[[#This Row],[DN2 niet leeg?]])))</f>
        <v>1</v>
      </c>
      <c r="AD4" s="3" t="b">
        <f>OR(Table_LuT_Deelnemers[[#This Row],[Verkorte Referentienaam Deelnemer]]="DN1",NOT(Table_LuT_Deelnemers[[#This Row],[DN niet leeg?]]),AND(S$2:S3))</f>
        <v>1</v>
      </c>
      <c r="AE4"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4" s="3" t="b">
        <f>OR(NOT(Table_LuT_Deelnemers[[#This Row],[DN niet leeg?]]),NOT(Table_LuT_Deelnemers[[#This Row],[DN2 niet leeg?]]),OR(Table_LuT_Deelnemers[Is OO?]))</f>
        <v>1</v>
      </c>
      <c r="AG4" s="3" t="b">
        <f>OR(Table_LuT_Deelnemers[[#This Row],[Verkorte Referentienaam Deelnemer]]="DN1",NOT(_xlfn.XOR(Table_LuT_Deelnemers[[#This Row],[DN niet leeg?]],Table_LuT_Deelnemers[[#This Row],[Type Organisatie niet leeg?]])))</f>
        <v>1</v>
      </c>
      <c r="AH4" s="3" t="b">
        <f>OR(Table_LuT_Deelnemers[[#This Row],[Verkorte Referentienaam Deelnemer]]&lt;&gt;"DN1",NOT(Table_LuT_Deelnemers[[#This Row],[Penvoerder niet leeg?]]),NOT(Table_LuT_Deelnemers[[#This Row],[Is Buitenlandse Organisatie]]))</f>
        <v>1</v>
      </c>
      <c r="AI4" s="3" t="b">
        <f>OR(NOT(Table_LuT_Deelnemers[[#This Row],[DN niet leeg?]]),Table_LuT_Deelnemers[[#This Row],[Is Buitenlandse Organisatie]],Table_LuT_Deelnemers[[#This Row],[KVK niet leeg?]])</f>
        <v>1</v>
      </c>
      <c r="AJ4" s="3" t="b">
        <f>OR(NOT(Table_LuT_Deelnemers[[#This Row],[DN niet leeg?]]),Table_LuT_Deelnemers[[#This Row],[Is Buitenlandse Organisatie]],AND(Table_LuT_Deelnemers[[#This Row],[KVK niet leeg?]],LEN(Table_LuT_Deelnemers[[#This Row],[KVK-nummer]])&lt;=8))</f>
        <v>1</v>
      </c>
      <c r="AK4" s="3" t="b">
        <f>OR(NOT(Table_LuT_Deelnemers[[#This Row],[DN niet leeg?]]),NOT(Table_LuT_Deelnemers[[#This Row],[Is Buitenlandse Organisatie]]),NOT(Table_LuT_Deelnemers[[#This Row],[KVK niet leeg?]]))</f>
        <v>1</v>
      </c>
      <c r="AL4" s="3" t="b">
        <f ca="1">OR(NOT(Table_LuT_Deelnemers[[#This Row],[DN niet leeg?]]),Table_LuT_Deelnemers[[#This Row],[Kostensystematiek niet leeg?]])</f>
        <v>1</v>
      </c>
      <c r="AM4" s="3" t="b" cm="1">
        <f t="array" aca="1" ref="AM4" ca="1">INDIRECT("'"&amp;Table_LuT_Deelnemers[[#This Row],[ID Deelnemer]]&amp;"'!Check_Vaste_uurtarief")</f>
        <v>1</v>
      </c>
      <c r="AN4" s="3" t="b" cm="1">
        <f t="array" ref="AN4">OR(NOT(Table_LuT_Deelnemers[[#This Row],[Is Penvoerder?]]),NOT(Table_LuT_Deelnemers[[#This Row],[DN niet leeg?]]),AND(OR(Var_Sub.instr.="MKB",Table_LuT_Deelnemers[[#This Row],[Is OO?]]),OR(Var_Sub.instr.&lt;&gt;"MKB",Table_LuT_Deelnemers[[#This Row],[Is MKB?]])))</f>
        <v>1</v>
      </c>
      <c r="AO4" s="3" t="b" cm="1">
        <f t="array" ref="AO4">OR(NOT(Table_LuT_Deelnemers[[#This Row],[DN niet leeg?]]),Var_Sub.instr.&lt;&gt;"MKB",Table_LuT_Deelnemers[[#This Row],[Is OO?]],Table_LuT_Deelnemers[[#This Row],[Is MKB?]])</f>
        <v>1</v>
      </c>
      <c r="AP4" s="3" t="b" cm="1">
        <f t="array" aca="1" ref="AP4" ca="1">IFERROR(Minimale_Cash_CoF&lt;=SUMIFS(Table_LuT_Deelnemers[Cash Bijdrage],Table_LuT_Deelnemers[Type Organisatie],"&lt;&gt;Onderzoeksorganisatie"),FALSE)</f>
        <v>1</v>
      </c>
      <c r="AQ4" s="3" t="b" cm="1">
        <f t="array" aca="1" ref="AQ4" ca="1">IFERROR(Minimale_Cash_CoF&lt;=SUMIFS(Table_LuT_Deelnemers[Cash Ontvangen],Table_LuT_Deelnemers[Type Organisatie],"Onderzoeksorganisatie"),FALSE)</f>
        <v>1</v>
      </c>
      <c r="AR4" s="3" t="b" cm="1">
        <f t="array" aca="1" ref="AR4" ca="1">AND(((Table_LuT_Deelnemers[Cash Bijdrage])=0) + ((Table_LuT_Deelnemers[Cash Ontvangen])=0))</f>
        <v>1</v>
      </c>
      <c r="AS4" s="3" t="b">
        <f ca="1">IFERROR(ABS(Table_LuT_Deelnemers[[#Totals],[Cash Bijdrage]]-Table_LuT_Deelnemers[[#Totals],[Cash Ontvangen]])&lt;1,FALSE)</f>
        <v>1</v>
      </c>
      <c r="AT4" s="3" t="b">
        <f ca="1">IFERROR(Table_LuT_Deelnemers[[#This Row],[Maximale Subsidie FO - HTSM^overheid]]&gt;=Table_LuT_Deelnemers[[#This Row],[Gevraagde Subsidie FO]],FALSE)</f>
        <v>1</v>
      </c>
      <c r="AU4" s="3" t="b">
        <f ca="1">IFERROR(Table_LuT_Deelnemers[[#This Row],[Maximale Subsidie IO - HTSM^overheid]]&gt;=Table_LuT_Deelnemers[[#This Row],[Gevraagde Subsidie IO]],FALSE)</f>
        <v>1</v>
      </c>
      <c r="AV4" s="3" t="b">
        <f ca="1">IFERROR(Table_LuT_Deelnemers[[#This Row],[Maximale Subsidie EO - HTSM^overheid]]&gt;=Table_LuT_Deelnemers[[#This Row],[Gevraagde Subsidie EO]],FALSE)</f>
        <v>1</v>
      </c>
      <c r="AW4" s="3" t="b" cm="1">
        <f t="array" aca="1" ref="AW4"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4" s="3" t="b">
        <f ca="1">IFERROR(Table_LuT_Deelnemers[[#Totals],[Maximale Subsidie Totaal - HTSM]]&gt;=Table_LuT_Deelnemers[[#Totals],[Gevraagde Subsidie Totaal]],FALSE)</f>
        <v>1</v>
      </c>
      <c r="AY4" s="3" t="b" cm="1">
        <f t="array" aca="1" ref="AY4" ca="1">OR(NOT(Table_LuT_Deelnemers[[#This Row],[DN niet leeg?]]),Var_Sub.instr.="MKB",Table_LuT_Deelnemers[[#This Row],[Type Organisatie]]="Onderzoeksorganisatie",Table_LuT_Deelnemers[[#This Row],[Gevraagde Subsidie Totaal]]=0)</f>
        <v>1</v>
      </c>
      <c r="AZ4" s="3" t="b" cm="1">
        <f t="array" aca="1" ref="AZ4"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4" s="3" t="b" cm="1">
        <f t="array" aca="1" ref="BA4" ca="1">IFERROR(AND(ABS((Table_LuT_Deelnemers[Kosten Totaal])-(Table_LuT_Deelnemers[Financiering Totaal]))&lt;1),FALSE)</f>
        <v>1</v>
      </c>
      <c r="BB4" s="3" t="b">
        <f ca="1">IFERROR(ABS(Table_LuT_Deelnemers[[#Totals],[Financiering Totaal]]-Table_LuT_Deelnemers[[#Totals],[Kosten Totaal]])&lt;1,FALSE)</f>
        <v>1</v>
      </c>
      <c r="BC4" s="3" t="b" cm="1">
        <f t="array" aca="1" ref="BC4" ca="1">OR(Var_Sub.instr.&lt;&gt;"MKB",AND(Table_LuT_Deelnemers[Kosten FO]=0,Table_LuT_Deelnemers[Kosten EO]=0))</f>
        <v>1</v>
      </c>
      <c r="BD4" s="3" t="b" cm="1">
        <f t="array" ref="BD4">IF(Var_Sub.instr.="MKB",AND(Table_LuT_Deelnemers[Verhouding SUM kosten OOs / SUM kosten MKBs is OK?]),TRUE)</f>
        <v>1</v>
      </c>
      <c r="BE4" s="3" t="b" cm="1">
        <f t="array" ref="BE4">IF(Var_Sub.instr.="MKB",AND(Table_LuT_Deelnemers[SUM Maximale Subsidie MKBs &lt;= € 300,000, als MKB-call],Table_LuT_Deelnemers[SUM Maximale Subsidie OOs &lt;= € 150,000, als MKB-call]),TRUE)</f>
        <v>1</v>
      </c>
      <c r="BF4" s="3" t="b" cm="1">
        <f t="array" aca="1" ref="BF4" ca="1">AND(( (Table_LuT_Deelnemers[Naam Organisatie]&lt;&gt;"") + ((Table_LuT_Deelnemers[Cash Bijdrage]=0) * (Table_LuT_Deelnemers[Financiering Totaal]=0)) ))</f>
        <v>1</v>
      </c>
      <c r="BG4" s="3" t="b" cm="1">
        <f t="array" aca="1" ref="BG4" ca="1">IFERROR(AND((Table_LuT_Deelnemers[[Cash Bijdrage]:[Gevraagde Subsidie EO]]="") + (ISNUMBER(Table_LuT_Deelnemers[[Cash Bijdrage]:[Gevraagde Subsidie EO]]) * (Table_LuT_Deelnemers[[Cash Bijdrage]:[Gevraagde Subsidie EO]]&gt;=0) * (MOD(Table_LuT_Deelnemers[[Cash Bijdrage]:[Gevraagde Subsidie EO]],1)=0))),FALSE)</f>
        <v>1</v>
      </c>
      <c r="BH4" s="246" t="b">
        <f t="shared" si="4"/>
        <v>0</v>
      </c>
      <c r="BI4" s="19" t="b">
        <f ca="1">AND(Table_LuT_Deelnemers[[#This Row],[Check 005]:[Check 990]])</f>
        <v>0</v>
      </c>
      <c r="BJ4" s="11">
        <f>SUMIFS(Table_LuT_Deelnemers[Kosten Totaal],Table_LuT_Deelnemers[Is MKB?],TRUE)</f>
        <v>0</v>
      </c>
      <c r="BK4" s="11">
        <f>SUMIFS(Table_LuT_Deelnemers[Kosten Totaal],Table_LuT_Deelnemers[Is OO?],TRUE)</f>
        <v>0</v>
      </c>
      <c r="BL4" s="243" t="b" cm="1">
        <f t="array" ref="BL4">IF(Var_Sub.instr.="MKB",IF(Table_LuT_Deelnemers[[#This Row],[SUM Kosten MKBs]]=0,FALSE,Table_LuT_Deelnemers[[#This Row],[SUM Kosten OOs]]/Table_LuT_Deelnemers[[#This Row],[SUM Kosten MKBs]]&lt;=0.5),TRUE)</f>
        <v>1</v>
      </c>
      <c r="BM4" s="8" cm="1">
        <f t="array" aca="1" ref="BM4" ca="1">INDIRECT("Kst_FO_"&amp;Table_LuT_Deelnemers[[#This Row],[Verkorte Referentienaam Deelnemer]])</f>
        <v>0</v>
      </c>
      <c r="BN4" s="8" cm="1">
        <f t="array" aca="1" ref="BN4" ca="1">INDIRECT("Kst_IO_"&amp;Table_LuT_Deelnemers[[#This Row],[Verkorte Referentienaam Deelnemer]])</f>
        <v>0</v>
      </c>
      <c r="BO4" s="8" cm="1">
        <f t="array" aca="1" ref="BO4" ca="1">INDIRECT("Kst_EO_"&amp;Table_LuT_Deelnemers[[#This Row],[Verkorte Referentienaam Deelnemer]])</f>
        <v>0</v>
      </c>
      <c r="BP4" s="8" cm="1">
        <f t="array" aca="1" ref="BP4" ca="1">INDIRECT("Kst_Tot_"&amp;Table_LuT_Deelnemers[[#This Row],[Verkorte Referentienaam Deelnemer]])</f>
        <v>0</v>
      </c>
      <c r="BQ4" s="330" cm="1">
        <f t="array" aca="1" ref="BQ4" ca="1">INDIRECT("'"&amp;A4&amp;"'!Kosten_Apparatuur")</f>
        <v>0</v>
      </c>
      <c r="BR4" s="8" cm="1">
        <f t="array" aca="1" ref="BR4" ca="1">INDIRECT("Max_Sub_FO_"&amp;Table_LuT_Deelnemers[[#This Row],[Verkorte Referentienaam Deelnemer]])</f>
        <v>0</v>
      </c>
      <c r="BS4" s="8" cm="1">
        <f t="array" aca="1" ref="BS4" ca="1">INDIRECT("Max_Sub_IO_"&amp;Table_LuT_Deelnemers[[#This Row],[Verkorte Referentienaam Deelnemer]])</f>
        <v>0</v>
      </c>
      <c r="BT4" s="8" cm="1">
        <f t="array" aca="1" ref="BT4" ca="1">INDIRECT("Max_Sub_EO_"&amp;Table_LuT_Deelnemers[[#This Row],[Verkorte Referentienaam Deelnemer]])</f>
        <v>0</v>
      </c>
      <c r="BU4" s="328" cm="1">
        <f t="array" aca="1" ref="BU4" ca="1">INDIRECT("Max_Sub_"&amp;Table_LuT_Deelnemers[[#This Row],[Verkorte Referentienaam Deelnemer]])</f>
        <v>0</v>
      </c>
      <c r="BV4" s="190" cm="1">
        <f t="array" aca="1" ref="BV4" ca="1">INDIRECT("Cash_"&amp;Table_LuT_Deelnemers[[#This Row],[Verkorte Referentienaam Deelnemer]])</f>
        <v>0</v>
      </c>
      <c r="BW4" s="8" cm="1">
        <f t="array" aca="1" ref="BW4" ca="1">INDIRECT("Cash_Ontvangen_"&amp;Table_LuT_Deelnemers[[#This Row],[Verkorte Referentienaam Deelnemer]])</f>
        <v>0</v>
      </c>
      <c r="BX4" s="8" cm="1">
        <f t="array" aca="1" ref="BX4" ca="1">INDIRECT("In_kind_"&amp;Table_LuT_Deelnemers[[#This Row],[Verkorte Referentienaam Deelnemer]])</f>
        <v>0</v>
      </c>
      <c r="BY4" s="8" cm="1">
        <f t="array" aca="1" ref="BY4" ca="1">INDIRECT("Overige_Subsidies_"&amp;Table_LuT_Deelnemers[[#This Row],[Verkorte Referentienaam Deelnemer]])</f>
        <v>0</v>
      </c>
      <c r="BZ4" s="190" cm="1">
        <f t="array" aca="1" ref="BZ4" ca="1">INDIRECT("Subsidie_FO_"&amp;Table_LuT_Deelnemers[[#This Row],[Verkorte Referentienaam Deelnemer]])</f>
        <v>0</v>
      </c>
      <c r="CA4" s="190" cm="1">
        <f t="array" aca="1" ref="CA4" ca="1">INDIRECT("Subsidie_IO_"&amp;Table_LuT_Deelnemers[[#This Row],[Verkorte Referentienaam Deelnemer]])</f>
        <v>0</v>
      </c>
      <c r="CB4" s="190" cm="1">
        <f t="array" aca="1" ref="CB4" ca="1">INDIRECT("Subsidie_EO_"&amp;Table_LuT_Deelnemers[[#This Row],[Verkorte Referentienaam Deelnemer]])</f>
        <v>0</v>
      </c>
      <c r="CC4" s="8" cm="1">
        <f t="array" aca="1" ref="CC4" ca="1">INDIRECT("Subsidie_"&amp;Table_LuT_Deelnemers[[#This Row],[Verkorte Referentienaam Deelnemer]])</f>
        <v>0</v>
      </c>
      <c r="CD4" s="254" cm="1">
        <f t="array" aca="1" ref="CD4" ca="1">INDIRECT("Fin_Tot_"&amp;Table_LuT_Deelnemers[[#This Row],[Verkorte Referentienaam Deelnemer]])</f>
        <v>0</v>
      </c>
      <c r="CE4" s="8">
        <f ca="1">_xlfn.LET(_xlpm.Var_Delta,Table_LuT_Deelnemers[[#This Row],[Gevraagde Subsidie FO]]-Table_LuT_Deelnemers[[#This Row],[Maximale Subsidie FO - HTSM^overheid]],IF(_xlpm.Var_Delta&gt;0,_xlpm.Var_Delta,0))</f>
        <v>0</v>
      </c>
      <c r="CF4" s="8">
        <f ca="1">_xlfn.LET(_xlpm.Var_Delta,Table_LuT_Deelnemers[[#This Row],[Gevraagde Subsidie IO]]-Table_LuT_Deelnemers[[#This Row],[Maximale Subsidie IO - HTSM^overheid]],IF(_xlpm.Var_Delta&gt;0,_xlpm.Var_Delta,0))</f>
        <v>0</v>
      </c>
      <c r="CG4" s="8">
        <f ca="1">_xlfn.LET(_xlpm.Var_Delta,Table_LuT_Deelnemers[[#This Row],[Gevraagde Subsidie EO]]-Table_LuT_Deelnemers[[#This Row],[Maximale Subsidie EO - HTSM^overheid]],IF(_xlpm.Var_Delta&gt;0,_xlpm.Var_Delta,0))</f>
        <v>0</v>
      </c>
      <c r="CH4" s="8">
        <f ca="1">_xlfn.LET(_xlpm.Var_Delta,Table_LuT_Deelnemers[[#This Row],[Gevraagde Subsidie Totaal]]-Table_LuT_Deelnemers[[#This Row],[Maximale Subsidie Totaal - HTSM^overheid]],IF(_xlpm.Var_Delta&gt;0,_xlpm.Var_Delta,0))</f>
        <v>0</v>
      </c>
      <c r="CI4" s="11">
        <f>SUMIFS(Table_LuT_Deelnemers[Gevraagde Subsidie Totaal],Table_LuT_Deelnemers[Is MKB?],TRUE)</f>
        <v>0</v>
      </c>
      <c r="CJ4" s="11">
        <f>SUMIFS(Table_LuT_Deelnemers[Gevraagde Subsidie Totaal],Table_LuT_Deelnemers[Is OO?],TRUE)</f>
        <v>0</v>
      </c>
      <c r="CK4" s="11" t="b" cm="1">
        <f t="array" ref="CK4">IF(Var_Sub.instr.="MKB",Table_LuT_Deelnemers[[#This Row],[SUM Gevraagde Subsidie MKBs]]&lt;=Var_MaxSub_MKB_call_MKB,TRUE)</f>
        <v>1</v>
      </c>
      <c r="CL4" s="243" t="b" cm="1">
        <f t="array" ref="CL4">IF(Var_Sub.instr.="MKB",Table_LuT_Deelnemers[[#This Row],[SUM Gevraagde Subsidie OOs]]&lt;=Var_MaxSub_MKB_call_OO,TRUE)</f>
        <v>1</v>
      </c>
      <c r="CM4" s="8">
        <f ca="1">SUMIFS(Table_LuT_Begroting_Deelnemers[Maximale Subsidie - overheid],Table_LuT_Begroting_Deelnemers[Verkorte Referentienaam Deelnemer],Table_LuT_Deelnemers[[#This Row],[Verkorte Referentienaam Deelnemer]],Table_LuT_Begroting_Deelnemers[FO | IO | EO],"FO")</f>
        <v>0</v>
      </c>
      <c r="CN4" s="8">
        <f ca="1">SUMIFS(Table_LuT_Begroting_Deelnemers[Maximale Subsidie - overheid],Table_LuT_Begroting_Deelnemers[Verkorte Referentienaam Deelnemer],Table_LuT_Deelnemers[[#This Row],[Verkorte Referentienaam Deelnemer]],Table_LuT_Begroting_Deelnemers[FO | IO | EO],"IO")</f>
        <v>0</v>
      </c>
      <c r="CO4" s="8">
        <f ca="1">SUMIFS(Table_LuT_Begroting_Deelnemers[Maximale Subsidie - overheid],Table_LuT_Begroting_Deelnemers[Verkorte Referentienaam Deelnemer],Table_LuT_Deelnemers[[#This Row],[Verkorte Referentienaam Deelnemer]],Table_LuT_Begroting_Deelnemers[FO | IO | EO],"EO")</f>
        <v>0</v>
      </c>
      <c r="CP4" s="328">
        <f ca="1">SUMIFS(Table_LuT_Begroting_Deelnemers[Maximale Subsidie - overheid],Table_LuT_Begroting_Deelnemers[Verkorte Referentienaam Deelnemer],Table_LuT_Deelnemers[[#This Row],[Verkorte Referentienaam Deelnemer]])</f>
        <v>0</v>
      </c>
      <c r="CQ4" s="8">
        <f ca="1">IF(Table_LuT_Deelnemers[[#This Row],[Is OO?]],Table_LuT_Deelnemers[[#This Row],[Maximale Subsidie FO - overheid]],Table_LuT_Deelnemers[[#This Row],[Maximale Subsidie FO - HTSM]])</f>
        <v>0</v>
      </c>
      <c r="CR4" s="8">
        <f ca="1">IF(Table_LuT_Deelnemers[[#This Row],[Is OO?]],Table_LuT_Deelnemers[[#This Row],[Maximale Subsidie IO - overheid]],Table_LuT_Deelnemers[[#This Row],[Maximale Subsidie IO - HTSM]])</f>
        <v>0</v>
      </c>
      <c r="CS4" s="8">
        <f ca="1">IF(Table_LuT_Deelnemers[[#This Row],[Is OO?]],Table_LuT_Deelnemers[[#This Row],[Maximale Subsidie EO - overheid]],Table_LuT_Deelnemers[[#This Row],[Maximale Subsidie EO - HTSM]])</f>
        <v>0</v>
      </c>
      <c r="CT4" s="328">
        <f ca="1">IF(Table_LuT_Deelnemers[[#This Row],[Is OO?]],Table_LuT_Deelnemers[[#This Row],[Maximale Subsidie Totaal - overheid]],Table_LuT_Deelnemers[[#This Row],[Maximale Subsidie Totaal - HTSM]])</f>
        <v>0</v>
      </c>
      <c r="CU4" s="11">
        <f>SUMIFS(Table_LuT_Deelnemers[Gevraagde Subsidie Totaal],Table_LuT_Deelnemers[Is OO?],TRUE)</f>
        <v>0</v>
      </c>
      <c r="CV4" s="11">
        <f ca="1">SUMIFS(Table_LuT_Begroting_Deelnemers[Maximale Subsidie OO - overheid],Table_LuT_Begroting_Deelnemers[Is OO?],TRUE)</f>
        <v>0</v>
      </c>
      <c r="CW4" s="11">
        <f ca="1">SUMIFS(Table_LuT_Begroting_Deelnemers[Maximale Subsidie OO - HTSM],Table_LuT_Begroting_Deelnemers[Is OO?],TRUE)</f>
        <v>0</v>
      </c>
      <c r="CX4" s="11">
        <f ca="1">SUMIFS(Table_LuT_Begroting_Deelnemers[Maximale Subsidie MKB - HTSM],Table_LuT_Begroting_Deelnemers[Is MKB?],TRUE)</f>
        <v>0</v>
      </c>
      <c r="CY4" s="11">
        <f ca="1">Table_LuT_Deelnemers[[#This Row],[SUM Maximale Subsidie - OO - HTSM]]+Table_LuT_Deelnemers[[#This Row],[SUM Maximale Subsidie - MKB - HTSM]]</f>
        <v>0</v>
      </c>
      <c r="CZ4" s="11">
        <f ca="1">MIN(Table_LuT_Deelnemers[[#This Row],[SUM  Maximale Subsidie - OO - overheid]],Table_LuT_Deelnemers[[#This Row],[SUM Maximale Subsidie - OO+MKB - HTSM]])</f>
        <v>0</v>
      </c>
    </row>
    <row r="5" spans="1:104" ht="15" customHeight="1" x14ac:dyDescent="0.25">
      <c r="A5" s="2" t="s">
        <v>61</v>
      </c>
      <c r="B5" s="2" t="s">
        <v>70</v>
      </c>
      <c r="C5" s="2" t="s">
        <v>89</v>
      </c>
      <c r="D5" s="3" t="str">
        <f>Table_LuT_Deelnemers[[#This Row],[ID Deelnemer]]</f>
        <v>Deelnemer 4</v>
      </c>
      <c r="E5" s="3" t="str" cm="1">
        <f t="array" ref="E5">IF(NOT(Table_LuT_Deelnemers[[#This Row],[DN niet leeg?]]),"",_xlfn.XLOOKUP(Table_LuT_Deelnemers[[#This Row],[ID Deelnemer]],INDEX(Range_Deelnemer_Nrs,,1),INDEX(Range_Deelnemer_Nrs,,2),"",0,1))</f>
        <v/>
      </c>
      <c r="F5" s="3" t="str" cm="1">
        <f t="array" ref="F5">IF(NOT(Table_LuT_Deelnemers[[#This Row],[Type Organisatie niet leeg?]]),"",_xlfn.XLOOKUP(Table_LuT_Deelnemers[[#This Row],[ID Deelnemer]],INDEX(Range_Deelnemer_Nrs,,1),INDEX(Range_Deelnemer_Nrs,,3),"",0,1))</f>
        <v/>
      </c>
      <c r="G5" s="3" t="str" cm="1">
        <f t="array" ref="G5">IF(NOT(Table_LuT_Deelnemers[[#This Row],[Type Organisatie niet leeg?]]),"",_xlfn.XLOOKUP(Table_LuT_Deelnemers[[#This Row],[Type Organisatie]],ValList_Type_Organisatie,Table_Val_List_Type_Org[TO]))</f>
        <v/>
      </c>
      <c r="H5" s="3" t="str" cm="1">
        <f t="array" ref="H5">IF(NOT(Table_LuT_Deelnemers[[#This Row],[KVK niet leeg?]]),"",_xlfn.XLOOKUP(Table_LuT_Deelnemers[[#This Row],[ID Deelnemer]],INDEX(Range_Deelnemer_Nrs,,1),INDEX(Range_Deelnemer_Nrs,,4),"",0,1))</f>
        <v/>
      </c>
      <c r="I5" s="3" t="str" cm="1">
        <f t="array" ref="I5">IF(NOT(Table_LuT_Deelnemers[[#This Row],[DN niet leeg?]]),"",IF(NOT(Table_LuT_Deelnemers[[#This Row],[Is Buitenlandse Organisatie]]),"",_xlfn.XLOOKUP(Table_LuT_Deelnemers[[#This Row],[ID Deelnemer]],INDEX(Range_Deelnemer_Nrs,,1),INDEX(Range_Deelnemer_Nrs,,5),"",0,1)))</f>
        <v/>
      </c>
      <c r="J5" s="3" t="str" cm="1">
        <f t="array" ref="J5">IF(NOT(Table_LuT_Deelnemers[[#This Row],[DN niet leeg?]]),"",_xlfn.XLOOKUP(Table_LuT_Deelnemers[[#This Row],[ID Deelnemer]],INDEX(Range_Deelnemer_Nrs,,1),INDEX(Range_Deelnemer_Nrs,,6),"",0,1)&lt;&gt;"nee")</f>
        <v/>
      </c>
      <c r="K5" s="3" t="str" cm="1">
        <f t="array" ref="K5">IF(NOT(Table_LuT_Deelnemers[[#This Row],[DN niet leeg?]]),"",_xlfn.LET(_xlpm.website,_xlfn.XLOOKUP(Table_LuT_Deelnemers[[#This Row],[ID Deelnemer]],INDEX(Range_Deelnemer_Nrs,,1),INDEX(Range_Deelnemer_Nrs,,7),"",0,1),IF(_xlpm.website=0,"",_xlpm.website)))</f>
        <v/>
      </c>
      <c r="L5" s="19" t="str" cm="1">
        <f t="array" aca="1" ref="L5" ca="1">IF(INDIRECT("'"&amp;Table_LuT_Deelnemers[[#This Row],[Naam Sheet]]&amp;"'!Kostensystematiek")="[Maak een keuze]","",INDIRECT("'"&amp;Table_LuT_Deelnemers[[#This Row],[Naam Sheet]]&amp;"'!Kostensystematiek"))</f>
        <v/>
      </c>
      <c r="M5" s="3" t="b">
        <f>Table_LuT_Deelnemers[[#This Row],[Type Organisatie]]="MKB"</f>
        <v>0</v>
      </c>
      <c r="N5" s="3" t="b">
        <f>Table_LuT_Deelnemers[[#This Row],[Type Organisatie]]="Onderzoeksorganisatie"</f>
        <v>0</v>
      </c>
      <c r="O5" s="3" t="b">
        <f>Table_LuT_Deelnemers[[#This Row],[Type Organisatie]]="Grootbedrijf"</f>
        <v>0</v>
      </c>
      <c r="P5" s="19" t="b">
        <f>Table_LuT_Deelnemers[[#This Row],[Verkorte Referentienaam Deelnemer]]="DN1"</f>
        <v>0</v>
      </c>
      <c r="Q5" s="3" t="b">
        <f t="shared" si="0"/>
        <v>0</v>
      </c>
      <c r="R5" s="3" t="b">
        <f t="shared" si="1"/>
        <v>0</v>
      </c>
      <c r="S5" s="3" t="b" cm="1">
        <f t="array" ref="S5">NOT(ISBLANK(_xlfn.XLOOKUP(Table_LuT_Deelnemers[[#This Row],[ID Deelnemer]],INDEX(Range_Deelnemer_Nrs,,1),INDEX(Range_Deelnemer_Nrs,,2),"",0,1)))</f>
        <v>0</v>
      </c>
      <c r="T5" s="3" t="b" cm="1">
        <f t="array" ref="T5">_xlfn.XLOOKUP(Table_LuT_Deelnemers[[#This Row],[ID Deelnemer]],INDEX(Range_Deelnemer_Nrs,,1),INDEX(Range_Deelnemer_Nrs,,3),"",0,1)&lt;&gt;"[Maak een keuze]"</f>
        <v>0</v>
      </c>
      <c r="U5" s="3" t="b" cm="1">
        <f t="array" ref="U5">NOT(ISBLANK(_xlfn.XLOOKUP(Table_LuT_Deelnemers[[#This Row],[ID Deelnemer]],INDEX(Range_Deelnemer_Nrs,,1),INDEX(Range_Deelnemer_Nrs,,4),"",0,1)))</f>
        <v>0</v>
      </c>
      <c r="V5" s="3" t="b" cm="1">
        <f t="array" ref="V5">NOT(ISBLANK(_xlfn.XLOOKUP(Table_LuT_Deelnemers[[#This Row],[ID Deelnemer]],INDEX(Range_Deelnemer_Nrs,,1),INDEX(Range_Deelnemer_Nrs,,5),"",0,1)))</f>
        <v>0</v>
      </c>
      <c r="W5" s="19" t="b" cm="1">
        <f t="array" aca="1" ref="W5" ca="1">INDIRECT("'"&amp;Table_LuT_Deelnemers[[#This Row],[Naam Sheet]]&amp;"'!Kostensystematiek")&lt;&gt;"[Maak een keuze]"</f>
        <v>0</v>
      </c>
      <c r="X5" s="248" t="b">
        <f>OR(NOT(Table_LuT_Deelnemers[[#This Row],[DN niet leeg?]]),Table_LuT_Deelnemers[[#This Row],[Is OO?]],NOT(Table_LuT_Deelnemers[[#This Row],[Is GB?]]))</f>
        <v>1</v>
      </c>
      <c r="Y5" s="3" t="b">
        <f>OR(Table_LuT_Deelnemers[[#This Row],[Verkorte Referentienaam Deelnemer]]&lt;&gt;"DN1",NOT(Table_LuT_Deelnemers[[#This Row],[Penvoerder niet leeg?]]),AND(Subsidie_instrument&lt;&gt;"[Maak een keuze]",NOT(ISBLANK(Projecttitel)),NOT(ISBLANK(Projectacroniem))))</f>
        <v>1</v>
      </c>
      <c r="Z5" s="3" t="b">
        <f t="shared" si="2"/>
        <v>1</v>
      </c>
      <c r="AA5" s="3" t="b">
        <f t="shared" si="3"/>
        <v>1</v>
      </c>
      <c r="AB5" s="3" t="b">
        <f>OR(Table_LuT_Deelnemers[[#This Row],[Verkorte Referentienaam Deelnemer]]&lt;&gt;"DN1",Table_LuT_Deelnemers[[#This Row],[Penvoerder niet leeg?]],NOT(Table_LuT_Deelnemers[[#This Row],[DN2 niet leeg?]]))</f>
        <v>1</v>
      </c>
      <c r="AC5" s="3" t="b">
        <f>OR(Table_LuT_Deelnemers[[#This Row],[Verkorte Referentienaam Deelnemer]]&lt;&gt;"DN2",NOT(_xlfn.XOR(Table_LuT_Deelnemers[[#This Row],[Penvoerder niet leeg?]],Table_LuT_Deelnemers[[#This Row],[DN2 niet leeg?]])))</f>
        <v>1</v>
      </c>
      <c r="AD5" s="3" t="b">
        <f>OR(Table_LuT_Deelnemers[[#This Row],[Verkorte Referentienaam Deelnemer]]="DN1",NOT(Table_LuT_Deelnemers[[#This Row],[DN niet leeg?]]),AND(S$2:S4))</f>
        <v>1</v>
      </c>
      <c r="AE5"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5" s="3" t="b">
        <f>OR(NOT(Table_LuT_Deelnemers[[#This Row],[DN niet leeg?]]),NOT(Table_LuT_Deelnemers[[#This Row],[DN2 niet leeg?]]),OR(Table_LuT_Deelnemers[Is OO?]))</f>
        <v>1</v>
      </c>
      <c r="AG5" s="3" t="b">
        <f>OR(Table_LuT_Deelnemers[[#This Row],[Verkorte Referentienaam Deelnemer]]="DN1",NOT(_xlfn.XOR(Table_LuT_Deelnemers[[#This Row],[DN niet leeg?]],Table_LuT_Deelnemers[[#This Row],[Type Organisatie niet leeg?]])))</f>
        <v>1</v>
      </c>
      <c r="AH5" s="3" t="b">
        <f>OR(Table_LuT_Deelnemers[[#This Row],[Verkorte Referentienaam Deelnemer]]&lt;&gt;"DN1",NOT(Table_LuT_Deelnemers[[#This Row],[Penvoerder niet leeg?]]),NOT(Table_LuT_Deelnemers[[#This Row],[Is Buitenlandse Organisatie]]))</f>
        <v>1</v>
      </c>
      <c r="AI5" s="3" t="b">
        <f>OR(NOT(Table_LuT_Deelnemers[[#This Row],[DN niet leeg?]]),Table_LuT_Deelnemers[[#This Row],[Is Buitenlandse Organisatie]],Table_LuT_Deelnemers[[#This Row],[KVK niet leeg?]])</f>
        <v>1</v>
      </c>
      <c r="AJ5" s="3" t="b">
        <f>OR(NOT(Table_LuT_Deelnemers[[#This Row],[DN niet leeg?]]),Table_LuT_Deelnemers[[#This Row],[Is Buitenlandse Organisatie]],AND(Table_LuT_Deelnemers[[#This Row],[KVK niet leeg?]],LEN(Table_LuT_Deelnemers[[#This Row],[KVK-nummer]])&lt;=8))</f>
        <v>1</v>
      </c>
      <c r="AK5" s="3" t="b">
        <f>OR(NOT(Table_LuT_Deelnemers[[#This Row],[DN niet leeg?]]),NOT(Table_LuT_Deelnemers[[#This Row],[Is Buitenlandse Organisatie]]),NOT(Table_LuT_Deelnemers[[#This Row],[KVK niet leeg?]]))</f>
        <v>1</v>
      </c>
      <c r="AL5" s="3" t="b">
        <f ca="1">OR(NOT(Table_LuT_Deelnemers[[#This Row],[DN niet leeg?]]),Table_LuT_Deelnemers[[#This Row],[Kostensystematiek niet leeg?]])</f>
        <v>1</v>
      </c>
      <c r="AM5" s="3" t="b" cm="1">
        <f t="array" aca="1" ref="AM5" ca="1">INDIRECT("'"&amp;Table_LuT_Deelnemers[[#This Row],[ID Deelnemer]]&amp;"'!Check_Vaste_uurtarief")</f>
        <v>1</v>
      </c>
      <c r="AN5" s="3" t="b" cm="1">
        <f t="array" ref="AN5">OR(NOT(Table_LuT_Deelnemers[[#This Row],[Is Penvoerder?]]),NOT(Table_LuT_Deelnemers[[#This Row],[DN niet leeg?]]),AND(OR(Var_Sub.instr.="MKB",Table_LuT_Deelnemers[[#This Row],[Is OO?]]),OR(Var_Sub.instr.&lt;&gt;"MKB",Table_LuT_Deelnemers[[#This Row],[Is MKB?]])))</f>
        <v>1</v>
      </c>
      <c r="AO5" s="3" t="b" cm="1">
        <f t="array" ref="AO5">OR(NOT(Table_LuT_Deelnemers[[#This Row],[DN niet leeg?]]),Var_Sub.instr.&lt;&gt;"MKB",Table_LuT_Deelnemers[[#This Row],[Is OO?]],Table_LuT_Deelnemers[[#This Row],[Is MKB?]])</f>
        <v>1</v>
      </c>
      <c r="AP5" s="3" t="b" cm="1">
        <f t="array" aca="1" ref="AP5" ca="1">IFERROR(Minimale_Cash_CoF&lt;=SUMIFS(Table_LuT_Deelnemers[Cash Bijdrage],Table_LuT_Deelnemers[Type Organisatie],"&lt;&gt;Onderzoeksorganisatie"),FALSE)</f>
        <v>1</v>
      </c>
      <c r="AQ5" s="3" t="b" cm="1">
        <f t="array" aca="1" ref="AQ5" ca="1">IFERROR(Minimale_Cash_CoF&lt;=SUMIFS(Table_LuT_Deelnemers[Cash Ontvangen],Table_LuT_Deelnemers[Type Organisatie],"Onderzoeksorganisatie"),FALSE)</f>
        <v>1</v>
      </c>
      <c r="AR5" s="3" t="b" cm="1">
        <f t="array" aca="1" ref="AR5" ca="1">AND(((Table_LuT_Deelnemers[Cash Bijdrage])=0) + ((Table_LuT_Deelnemers[Cash Ontvangen])=0))</f>
        <v>1</v>
      </c>
      <c r="AS5" s="3" t="b">
        <f ca="1">IFERROR(ABS(Table_LuT_Deelnemers[[#Totals],[Cash Bijdrage]]-Table_LuT_Deelnemers[[#Totals],[Cash Ontvangen]])&lt;1,FALSE)</f>
        <v>1</v>
      </c>
      <c r="AT5" s="3" t="b">
        <f ca="1">IFERROR(Table_LuT_Deelnemers[[#This Row],[Maximale Subsidie FO - HTSM^overheid]]&gt;=Table_LuT_Deelnemers[[#This Row],[Gevraagde Subsidie FO]],FALSE)</f>
        <v>1</v>
      </c>
      <c r="AU5" s="3" t="b">
        <f ca="1">IFERROR(Table_LuT_Deelnemers[[#This Row],[Maximale Subsidie IO - HTSM^overheid]]&gt;=Table_LuT_Deelnemers[[#This Row],[Gevraagde Subsidie IO]],FALSE)</f>
        <v>1</v>
      </c>
      <c r="AV5" s="3" t="b">
        <f ca="1">IFERROR(Table_LuT_Deelnemers[[#This Row],[Maximale Subsidie EO - HTSM^overheid]]&gt;=Table_LuT_Deelnemers[[#This Row],[Gevraagde Subsidie EO]],FALSE)</f>
        <v>1</v>
      </c>
      <c r="AW5" s="3" t="b" cm="1">
        <f t="array" aca="1" ref="AW5"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5" s="3" t="b">
        <f ca="1">IFERROR(Table_LuT_Deelnemers[[#Totals],[Maximale Subsidie Totaal - HTSM]]&gt;=Table_LuT_Deelnemers[[#Totals],[Gevraagde Subsidie Totaal]],FALSE)</f>
        <v>1</v>
      </c>
      <c r="AY5" s="3" t="b" cm="1">
        <f t="array" aca="1" ref="AY5" ca="1">OR(NOT(Table_LuT_Deelnemers[[#This Row],[DN niet leeg?]]),Var_Sub.instr.="MKB",Table_LuT_Deelnemers[[#This Row],[Type Organisatie]]="Onderzoeksorganisatie",Table_LuT_Deelnemers[[#This Row],[Gevraagde Subsidie Totaal]]=0)</f>
        <v>1</v>
      </c>
      <c r="AZ5" s="3" t="b" cm="1">
        <f t="array" aca="1" ref="AZ5"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5" s="3" t="b" cm="1">
        <f t="array" aca="1" ref="BA5" ca="1">IFERROR(AND(ABS((Table_LuT_Deelnemers[Kosten Totaal])-(Table_LuT_Deelnemers[Financiering Totaal]))&lt;1),FALSE)</f>
        <v>1</v>
      </c>
      <c r="BB5" s="3" t="b">
        <f ca="1">IFERROR(ABS(Table_LuT_Deelnemers[[#Totals],[Financiering Totaal]]-Table_LuT_Deelnemers[[#Totals],[Kosten Totaal]])&lt;1,FALSE)</f>
        <v>1</v>
      </c>
      <c r="BC5" s="3" t="b" cm="1">
        <f t="array" aca="1" ref="BC5" ca="1">OR(Var_Sub.instr.&lt;&gt;"MKB",AND(Table_LuT_Deelnemers[Kosten FO]=0,Table_LuT_Deelnemers[Kosten EO]=0))</f>
        <v>1</v>
      </c>
      <c r="BD5" s="3" t="b" cm="1">
        <f t="array" ref="BD5">IF(Var_Sub.instr.="MKB",AND(Table_LuT_Deelnemers[Verhouding SUM kosten OOs / SUM kosten MKBs is OK?]),TRUE)</f>
        <v>1</v>
      </c>
      <c r="BE5" s="3" t="b" cm="1">
        <f t="array" ref="BE5">IF(Var_Sub.instr.="MKB",AND(Table_LuT_Deelnemers[SUM Maximale Subsidie MKBs &lt;= € 300,000, als MKB-call],Table_LuT_Deelnemers[SUM Maximale Subsidie OOs &lt;= € 150,000, als MKB-call]),TRUE)</f>
        <v>1</v>
      </c>
      <c r="BF5" s="3" t="b" cm="1">
        <f t="array" aca="1" ref="BF5" ca="1">AND(( (Table_LuT_Deelnemers[Naam Organisatie]&lt;&gt;"") + ((Table_LuT_Deelnemers[Cash Bijdrage]=0) * (Table_LuT_Deelnemers[Financiering Totaal]=0)) ))</f>
        <v>1</v>
      </c>
      <c r="BG5" s="3" t="b" cm="1">
        <f t="array" aca="1" ref="BG5" ca="1">IFERROR(AND((Table_LuT_Deelnemers[[Cash Bijdrage]:[Gevraagde Subsidie EO]]="") + (ISNUMBER(Table_LuT_Deelnemers[[Cash Bijdrage]:[Gevraagde Subsidie EO]]) * (Table_LuT_Deelnemers[[Cash Bijdrage]:[Gevraagde Subsidie EO]]&gt;=0) * (MOD(Table_LuT_Deelnemers[[Cash Bijdrage]:[Gevraagde Subsidie EO]],1)=0))),FALSE)</f>
        <v>1</v>
      </c>
      <c r="BH5" s="246" t="b">
        <f t="shared" si="4"/>
        <v>0</v>
      </c>
      <c r="BI5" s="19" t="b">
        <f ca="1">AND(Table_LuT_Deelnemers[[#This Row],[Check 005]:[Check 990]])</f>
        <v>0</v>
      </c>
      <c r="BJ5" s="11">
        <f>SUMIFS(Table_LuT_Deelnemers[Kosten Totaal],Table_LuT_Deelnemers[Is MKB?],TRUE)</f>
        <v>0</v>
      </c>
      <c r="BK5" s="11">
        <f>SUMIFS(Table_LuT_Deelnemers[Kosten Totaal],Table_LuT_Deelnemers[Is OO?],TRUE)</f>
        <v>0</v>
      </c>
      <c r="BL5" s="243" t="b" cm="1">
        <f t="array" ref="BL5">IF(Var_Sub.instr.="MKB",IF(Table_LuT_Deelnemers[[#This Row],[SUM Kosten MKBs]]=0,FALSE,Table_LuT_Deelnemers[[#This Row],[SUM Kosten OOs]]/Table_LuT_Deelnemers[[#This Row],[SUM Kosten MKBs]]&lt;=0.5),TRUE)</f>
        <v>1</v>
      </c>
      <c r="BM5" s="8" cm="1">
        <f t="array" aca="1" ref="BM5" ca="1">INDIRECT("Kst_FO_"&amp;Table_LuT_Deelnemers[[#This Row],[Verkorte Referentienaam Deelnemer]])</f>
        <v>0</v>
      </c>
      <c r="BN5" s="8" cm="1">
        <f t="array" aca="1" ref="BN5" ca="1">INDIRECT("Kst_IO_"&amp;Table_LuT_Deelnemers[[#This Row],[Verkorte Referentienaam Deelnemer]])</f>
        <v>0</v>
      </c>
      <c r="BO5" s="8" cm="1">
        <f t="array" aca="1" ref="BO5" ca="1">INDIRECT("Kst_EO_"&amp;Table_LuT_Deelnemers[[#This Row],[Verkorte Referentienaam Deelnemer]])</f>
        <v>0</v>
      </c>
      <c r="BP5" s="8" cm="1">
        <f t="array" aca="1" ref="BP5" ca="1">INDIRECT("Kst_Tot_"&amp;Table_LuT_Deelnemers[[#This Row],[Verkorte Referentienaam Deelnemer]])</f>
        <v>0</v>
      </c>
      <c r="BQ5" s="330" cm="1">
        <f t="array" aca="1" ref="BQ5" ca="1">INDIRECT("'"&amp;A5&amp;"'!Kosten_Apparatuur")</f>
        <v>0</v>
      </c>
      <c r="BR5" s="8" cm="1">
        <f t="array" aca="1" ref="BR5" ca="1">INDIRECT("Max_Sub_FO_"&amp;Table_LuT_Deelnemers[[#This Row],[Verkorte Referentienaam Deelnemer]])</f>
        <v>0</v>
      </c>
      <c r="BS5" s="8" cm="1">
        <f t="array" aca="1" ref="BS5" ca="1">INDIRECT("Max_Sub_IO_"&amp;Table_LuT_Deelnemers[[#This Row],[Verkorte Referentienaam Deelnemer]])</f>
        <v>0</v>
      </c>
      <c r="BT5" s="8" cm="1">
        <f t="array" aca="1" ref="BT5" ca="1">INDIRECT("Max_Sub_EO_"&amp;Table_LuT_Deelnemers[[#This Row],[Verkorte Referentienaam Deelnemer]])</f>
        <v>0</v>
      </c>
      <c r="BU5" s="328" cm="1">
        <f t="array" aca="1" ref="BU5" ca="1">INDIRECT("Max_Sub_"&amp;Table_LuT_Deelnemers[[#This Row],[Verkorte Referentienaam Deelnemer]])</f>
        <v>0</v>
      </c>
      <c r="BV5" s="190" cm="1">
        <f t="array" aca="1" ref="BV5" ca="1">INDIRECT("Cash_"&amp;Table_LuT_Deelnemers[[#This Row],[Verkorte Referentienaam Deelnemer]])</f>
        <v>0</v>
      </c>
      <c r="BW5" s="8" cm="1">
        <f t="array" aca="1" ref="BW5" ca="1">INDIRECT("Cash_Ontvangen_"&amp;Table_LuT_Deelnemers[[#This Row],[Verkorte Referentienaam Deelnemer]])</f>
        <v>0</v>
      </c>
      <c r="BX5" s="8" cm="1">
        <f t="array" aca="1" ref="BX5" ca="1">INDIRECT("In_kind_"&amp;Table_LuT_Deelnemers[[#This Row],[Verkorte Referentienaam Deelnemer]])</f>
        <v>0</v>
      </c>
      <c r="BY5" s="8" cm="1">
        <f t="array" aca="1" ref="BY5" ca="1">INDIRECT("Overige_Subsidies_"&amp;Table_LuT_Deelnemers[[#This Row],[Verkorte Referentienaam Deelnemer]])</f>
        <v>0</v>
      </c>
      <c r="BZ5" s="190" cm="1">
        <f t="array" aca="1" ref="BZ5" ca="1">INDIRECT("Subsidie_FO_"&amp;Table_LuT_Deelnemers[[#This Row],[Verkorte Referentienaam Deelnemer]])</f>
        <v>0</v>
      </c>
      <c r="CA5" s="190" cm="1">
        <f t="array" aca="1" ref="CA5" ca="1">INDIRECT("Subsidie_IO_"&amp;Table_LuT_Deelnemers[[#This Row],[Verkorte Referentienaam Deelnemer]])</f>
        <v>0</v>
      </c>
      <c r="CB5" s="190" cm="1">
        <f t="array" aca="1" ref="CB5" ca="1">INDIRECT("Subsidie_EO_"&amp;Table_LuT_Deelnemers[[#This Row],[Verkorte Referentienaam Deelnemer]])</f>
        <v>0</v>
      </c>
      <c r="CC5" s="8" cm="1">
        <f t="array" aca="1" ref="CC5" ca="1">INDIRECT("Subsidie_"&amp;Table_LuT_Deelnemers[[#This Row],[Verkorte Referentienaam Deelnemer]])</f>
        <v>0</v>
      </c>
      <c r="CD5" s="254" cm="1">
        <f t="array" aca="1" ref="CD5" ca="1">INDIRECT("Fin_Tot_"&amp;Table_LuT_Deelnemers[[#This Row],[Verkorte Referentienaam Deelnemer]])</f>
        <v>0</v>
      </c>
      <c r="CE5" s="8">
        <f ca="1">_xlfn.LET(_xlpm.Var_Delta,Table_LuT_Deelnemers[[#This Row],[Gevraagde Subsidie FO]]-Table_LuT_Deelnemers[[#This Row],[Maximale Subsidie FO - HTSM^overheid]],IF(_xlpm.Var_Delta&gt;0,_xlpm.Var_Delta,0))</f>
        <v>0</v>
      </c>
      <c r="CF5" s="8">
        <f ca="1">_xlfn.LET(_xlpm.Var_Delta,Table_LuT_Deelnemers[[#This Row],[Gevraagde Subsidie IO]]-Table_LuT_Deelnemers[[#This Row],[Maximale Subsidie IO - HTSM^overheid]],IF(_xlpm.Var_Delta&gt;0,_xlpm.Var_Delta,0))</f>
        <v>0</v>
      </c>
      <c r="CG5" s="8">
        <f ca="1">_xlfn.LET(_xlpm.Var_Delta,Table_LuT_Deelnemers[[#This Row],[Gevraagde Subsidie EO]]-Table_LuT_Deelnemers[[#This Row],[Maximale Subsidie EO - HTSM^overheid]],IF(_xlpm.Var_Delta&gt;0,_xlpm.Var_Delta,0))</f>
        <v>0</v>
      </c>
      <c r="CH5" s="8">
        <f ca="1">_xlfn.LET(_xlpm.Var_Delta,Table_LuT_Deelnemers[[#This Row],[Gevraagde Subsidie Totaal]]-Table_LuT_Deelnemers[[#This Row],[Maximale Subsidie Totaal - HTSM^overheid]],IF(_xlpm.Var_Delta&gt;0,_xlpm.Var_Delta,0))</f>
        <v>0</v>
      </c>
      <c r="CI5" s="11">
        <f>SUMIFS(Table_LuT_Deelnemers[Gevraagde Subsidie Totaal],Table_LuT_Deelnemers[Is MKB?],TRUE)</f>
        <v>0</v>
      </c>
      <c r="CJ5" s="11">
        <f>SUMIFS(Table_LuT_Deelnemers[Gevraagde Subsidie Totaal],Table_LuT_Deelnemers[Is OO?],TRUE)</f>
        <v>0</v>
      </c>
      <c r="CK5" s="11" t="b" cm="1">
        <f t="array" ref="CK5">IF(Var_Sub.instr.="MKB",Table_LuT_Deelnemers[[#This Row],[SUM Gevraagde Subsidie MKBs]]&lt;=Var_MaxSub_MKB_call_MKB,TRUE)</f>
        <v>1</v>
      </c>
      <c r="CL5" s="243" t="b" cm="1">
        <f t="array" ref="CL5">IF(Var_Sub.instr.="MKB",Table_LuT_Deelnemers[[#This Row],[SUM Gevraagde Subsidie OOs]]&lt;=Var_MaxSub_MKB_call_OO,TRUE)</f>
        <v>1</v>
      </c>
      <c r="CM5" s="8">
        <f ca="1">SUMIFS(Table_LuT_Begroting_Deelnemers[Maximale Subsidie - overheid],Table_LuT_Begroting_Deelnemers[Verkorte Referentienaam Deelnemer],Table_LuT_Deelnemers[[#This Row],[Verkorte Referentienaam Deelnemer]],Table_LuT_Begroting_Deelnemers[FO | IO | EO],"FO")</f>
        <v>0</v>
      </c>
      <c r="CN5" s="8">
        <f ca="1">SUMIFS(Table_LuT_Begroting_Deelnemers[Maximale Subsidie - overheid],Table_LuT_Begroting_Deelnemers[Verkorte Referentienaam Deelnemer],Table_LuT_Deelnemers[[#This Row],[Verkorte Referentienaam Deelnemer]],Table_LuT_Begroting_Deelnemers[FO | IO | EO],"IO")</f>
        <v>0</v>
      </c>
      <c r="CO5" s="8">
        <f ca="1">SUMIFS(Table_LuT_Begroting_Deelnemers[Maximale Subsidie - overheid],Table_LuT_Begroting_Deelnemers[Verkorte Referentienaam Deelnemer],Table_LuT_Deelnemers[[#This Row],[Verkorte Referentienaam Deelnemer]],Table_LuT_Begroting_Deelnemers[FO | IO | EO],"EO")</f>
        <v>0</v>
      </c>
      <c r="CP5" s="328">
        <f ca="1">SUMIFS(Table_LuT_Begroting_Deelnemers[Maximale Subsidie - overheid],Table_LuT_Begroting_Deelnemers[Verkorte Referentienaam Deelnemer],Table_LuT_Deelnemers[[#This Row],[Verkorte Referentienaam Deelnemer]])</f>
        <v>0</v>
      </c>
      <c r="CQ5" s="8">
        <f ca="1">IF(Table_LuT_Deelnemers[[#This Row],[Is OO?]],Table_LuT_Deelnemers[[#This Row],[Maximale Subsidie FO - overheid]],Table_LuT_Deelnemers[[#This Row],[Maximale Subsidie FO - HTSM]])</f>
        <v>0</v>
      </c>
      <c r="CR5" s="8">
        <f ca="1">IF(Table_LuT_Deelnemers[[#This Row],[Is OO?]],Table_LuT_Deelnemers[[#This Row],[Maximale Subsidie IO - overheid]],Table_LuT_Deelnemers[[#This Row],[Maximale Subsidie IO - HTSM]])</f>
        <v>0</v>
      </c>
      <c r="CS5" s="8">
        <f ca="1">IF(Table_LuT_Deelnemers[[#This Row],[Is OO?]],Table_LuT_Deelnemers[[#This Row],[Maximale Subsidie EO - overheid]],Table_LuT_Deelnemers[[#This Row],[Maximale Subsidie EO - HTSM]])</f>
        <v>0</v>
      </c>
      <c r="CT5" s="328">
        <f ca="1">IF(Table_LuT_Deelnemers[[#This Row],[Is OO?]],Table_LuT_Deelnemers[[#This Row],[Maximale Subsidie Totaal - overheid]],Table_LuT_Deelnemers[[#This Row],[Maximale Subsidie Totaal - HTSM]])</f>
        <v>0</v>
      </c>
      <c r="CU5" s="11">
        <f>SUMIFS(Table_LuT_Deelnemers[Gevraagde Subsidie Totaal],Table_LuT_Deelnemers[Is OO?],TRUE)</f>
        <v>0</v>
      </c>
      <c r="CV5" s="11">
        <f ca="1">SUMIFS(Table_LuT_Begroting_Deelnemers[Maximale Subsidie OO - overheid],Table_LuT_Begroting_Deelnemers[Is OO?],TRUE)</f>
        <v>0</v>
      </c>
      <c r="CW5" s="11">
        <f ca="1">SUMIFS(Table_LuT_Begroting_Deelnemers[Maximale Subsidie OO - HTSM],Table_LuT_Begroting_Deelnemers[Is OO?],TRUE)</f>
        <v>0</v>
      </c>
      <c r="CX5" s="11">
        <f ca="1">SUMIFS(Table_LuT_Begroting_Deelnemers[Maximale Subsidie MKB - HTSM],Table_LuT_Begroting_Deelnemers[Is MKB?],TRUE)</f>
        <v>0</v>
      </c>
      <c r="CY5" s="11">
        <f ca="1">Table_LuT_Deelnemers[[#This Row],[SUM Maximale Subsidie - OO - HTSM]]+Table_LuT_Deelnemers[[#This Row],[SUM Maximale Subsidie - MKB - HTSM]]</f>
        <v>0</v>
      </c>
      <c r="CZ5" s="11">
        <f ca="1">MIN(Table_LuT_Deelnemers[[#This Row],[SUM  Maximale Subsidie - OO - overheid]],Table_LuT_Deelnemers[[#This Row],[SUM Maximale Subsidie - OO+MKB - HTSM]])</f>
        <v>0</v>
      </c>
    </row>
    <row r="6" spans="1:104" ht="15" customHeight="1" x14ac:dyDescent="0.25">
      <c r="A6" s="2" t="s">
        <v>62</v>
      </c>
      <c r="B6" s="2" t="s">
        <v>71</v>
      </c>
      <c r="C6" s="2" t="s">
        <v>90</v>
      </c>
      <c r="D6" s="3" t="str">
        <f>Table_LuT_Deelnemers[[#This Row],[ID Deelnemer]]</f>
        <v>Deelnemer 5</v>
      </c>
      <c r="E6" s="3" t="str" cm="1">
        <f t="array" ref="E6">IF(NOT(Table_LuT_Deelnemers[[#This Row],[DN niet leeg?]]),"",_xlfn.XLOOKUP(Table_LuT_Deelnemers[[#This Row],[ID Deelnemer]],INDEX(Range_Deelnemer_Nrs,,1),INDEX(Range_Deelnemer_Nrs,,2),"",0,1))</f>
        <v/>
      </c>
      <c r="F6" s="3" t="str" cm="1">
        <f t="array" ref="F6">IF(NOT(Table_LuT_Deelnemers[[#This Row],[Type Organisatie niet leeg?]]),"",_xlfn.XLOOKUP(Table_LuT_Deelnemers[[#This Row],[ID Deelnemer]],INDEX(Range_Deelnemer_Nrs,,1),INDEX(Range_Deelnemer_Nrs,,3),"",0,1))</f>
        <v/>
      </c>
      <c r="G6" s="3" t="str" cm="1">
        <f t="array" ref="G6">IF(NOT(Table_LuT_Deelnemers[[#This Row],[Type Organisatie niet leeg?]]),"",_xlfn.XLOOKUP(Table_LuT_Deelnemers[[#This Row],[Type Organisatie]],ValList_Type_Organisatie,Table_Val_List_Type_Org[TO]))</f>
        <v/>
      </c>
      <c r="H6" s="3" t="str" cm="1">
        <f t="array" ref="H6">IF(NOT(Table_LuT_Deelnemers[[#This Row],[KVK niet leeg?]]),"",_xlfn.XLOOKUP(Table_LuT_Deelnemers[[#This Row],[ID Deelnemer]],INDEX(Range_Deelnemer_Nrs,,1),INDEX(Range_Deelnemer_Nrs,,4),"",0,1))</f>
        <v/>
      </c>
      <c r="I6" s="3" t="str" cm="1">
        <f t="array" ref="I6">IF(NOT(Table_LuT_Deelnemers[[#This Row],[DN niet leeg?]]),"",IF(NOT(Table_LuT_Deelnemers[[#This Row],[Is Buitenlandse Organisatie]]),"",_xlfn.XLOOKUP(Table_LuT_Deelnemers[[#This Row],[ID Deelnemer]],INDEX(Range_Deelnemer_Nrs,,1),INDEX(Range_Deelnemer_Nrs,,5),"",0,1)))</f>
        <v/>
      </c>
      <c r="J6" s="3" t="str" cm="1">
        <f t="array" ref="J6">IF(NOT(Table_LuT_Deelnemers[[#This Row],[DN niet leeg?]]),"",_xlfn.XLOOKUP(Table_LuT_Deelnemers[[#This Row],[ID Deelnemer]],INDEX(Range_Deelnemer_Nrs,,1),INDEX(Range_Deelnemer_Nrs,,6),"",0,1)&lt;&gt;"nee")</f>
        <v/>
      </c>
      <c r="K6" s="3" t="str" cm="1">
        <f t="array" ref="K6">IF(NOT(Table_LuT_Deelnemers[[#This Row],[DN niet leeg?]]),"",_xlfn.LET(_xlpm.website,_xlfn.XLOOKUP(Table_LuT_Deelnemers[[#This Row],[ID Deelnemer]],INDEX(Range_Deelnemer_Nrs,,1),INDEX(Range_Deelnemer_Nrs,,7),"",0,1),IF(_xlpm.website=0,"",_xlpm.website)))</f>
        <v/>
      </c>
      <c r="L6" s="19" t="str" cm="1">
        <f t="array" aca="1" ref="L6" ca="1">IF(INDIRECT("'"&amp;Table_LuT_Deelnemers[[#This Row],[Naam Sheet]]&amp;"'!Kostensystematiek")="[Maak een keuze]","",INDIRECT("'"&amp;Table_LuT_Deelnemers[[#This Row],[Naam Sheet]]&amp;"'!Kostensystematiek"))</f>
        <v/>
      </c>
      <c r="M6" s="3" t="b">
        <f>Table_LuT_Deelnemers[[#This Row],[Type Organisatie]]="MKB"</f>
        <v>0</v>
      </c>
      <c r="N6" s="3" t="b">
        <f>Table_LuT_Deelnemers[[#This Row],[Type Organisatie]]="Onderzoeksorganisatie"</f>
        <v>0</v>
      </c>
      <c r="O6" s="3" t="b">
        <f>Table_LuT_Deelnemers[[#This Row],[Type Organisatie]]="Grootbedrijf"</f>
        <v>0</v>
      </c>
      <c r="P6" s="19" t="b">
        <f>Table_LuT_Deelnemers[[#This Row],[Verkorte Referentienaam Deelnemer]]="DN1"</f>
        <v>0</v>
      </c>
      <c r="Q6" s="3" t="b">
        <f t="shared" si="0"/>
        <v>0</v>
      </c>
      <c r="R6" s="3" t="b">
        <f t="shared" si="1"/>
        <v>0</v>
      </c>
      <c r="S6" s="3" t="b" cm="1">
        <f t="array" ref="S6">NOT(ISBLANK(_xlfn.XLOOKUP(Table_LuT_Deelnemers[[#This Row],[ID Deelnemer]],INDEX(Range_Deelnemer_Nrs,,1),INDEX(Range_Deelnemer_Nrs,,2),"",0,1)))</f>
        <v>0</v>
      </c>
      <c r="T6" s="3" t="b" cm="1">
        <f t="array" ref="T6">_xlfn.XLOOKUP(Table_LuT_Deelnemers[[#This Row],[ID Deelnemer]],INDEX(Range_Deelnemer_Nrs,,1),INDEX(Range_Deelnemer_Nrs,,3),"",0,1)&lt;&gt;"[Maak een keuze]"</f>
        <v>0</v>
      </c>
      <c r="U6" s="3" t="b" cm="1">
        <f t="array" ref="U6">NOT(ISBLANK(_xlfn.XLOOKUP(Table_LuT_Deelnemers[[#This Row],[ID Deelnemer]],INDEX(Range_Deelnemer_Nrs,,1),INDEX(Range_Deelnemer_Nrs,,4),"",0,1)))</f>
        <v>0</v>
      </c>
      <c r="V6" s="3" t="b" cm="1">
        <f t="array" ref="V6">NOT(ISBLANK(_xlfn.XLOOKUP(Table_LuT_Deelnemers[[#This Row],[ID Deelnemer]],INDEX(Range_Deelnemer_Nrs,,1),INDEX(Range_Deelnemer_Nrs,,5),"",0,1)))</f>
        <v>0</v>
      </c>
      <c r="W6" s="19" t="b" cm="1">
        <f t="array" aca="1" ref="W6" ca="1">INDIRECT("'"&amp;Table_LuT_Deelnemers[[#This Row],[Naam Sheet]]&amp;"'!Kostensystematiek")&lt;&gt;"[Maak een keuze]"</f>
        <v>0</v>
      </c>
      <c r="X6" s="248" t="b">
        <f>OR(NOT(Table_LuT_Deelnemers[[#This Row],[DN niet leeg?]]),Table_LuT_Deelnemers[[#This Row],[Is OO?]],NOT(Table_LuT_Deelnemers[[#This Row],[Is GB?]]))</f>
        <v>1</v>
      </c>
      <c r="Y6" s="3" t="b">
        <f>OR(Table_LuT_Deelnemers[[#This Row],[Verkorte Referentienaam Deelnemer]]&lt;&gt;"DN1",NOT(Table_LuT_Deelnemers[[#This Row],[Penvoerder niet leeg?]]),AND(Subsidie_instrument&lt;&gt;"[Maak een keuze]",NOT(ISBLANK(Projecttitel)),NOT(ISBLANK(Projectacroniem))))</f>
        <v>1</v>
      </c>
      <c r="Z6" s="3" t="b">
        <f t="shared" si="2"/>
        <v>1</v>
      </c>
      <c r="AA6" s="3" t="b">
        <f t="shared" si="3"/>
        <v>1</v>
      </c>
      <c r="AB6" s="3" t="b">
        <f>OR(Table_LuT_Deelnemers[[#This Row],[Verkorte Referentienaam Deelnemer]]&lt;&gt;"DN1",Table_LuT_Deelnemers[[#This Row],[Penvoerder niet leeg?]],NOT(Table_LuT_Deelnemers[[#This Row],[DN2 niet leeg?]]))</f>
        <v>1</v>
      </c>
      <c r="AC6" s="3" t="b">
        <f>OR(Table_LuT_Deelnemers[[#This Row],[Verkorte Referentienaam Deelnemer]]&lt;&gt;"DN2",NOT(_xlfn.XOR(Table_LuT_Deelnemers[[#This Row],[Penvoerder niet leeg?]],Table_LuT_Deelnemers[[#This Row],[DN2 niet leeg?]])))</f>
        <v>1</v>
      </c>
      <c r="AD6" s="3" t="b">
        <f>OR(Table_LuT_Deelnemers[[#This Row],[Verkorte Referentienaam Deelnemer]]="DN1",NOT(Table_LuT_Deelnemers[[#This Row],[DN niet leeg?]]),AND(S$2:S5))</f>
        <v>1</v>
      </c>
      <c r="AE6"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6" s="3" t="b">
        <f>OR(NOT(Table_LuT_Deelnemers[[#This Row],[DN niet leeg?]]),NOT(Table_LuT_Deelnemers[[#This Row],[DN2 niet leeg?]]),OR(Table_LuT_Deelnemers[Is OO?]))</f>
        <v>1</v>
      </c>
      <c r="AG6" s="3" t="b">
        <f>OR(Table_LuT_Deelnemers[[#This Row],[Verkorte Referentienaam Deelnemer]]="DN1",NOT(_xlfn.XOR(Table_LuT_Deelnemers[[#This Row],[DN niet leeg?]],Table_LuT_Deelnemers[[#This Row],[Type Organisatie niet leeg?]])))</f>
        <v>1</v>
      </c>
      <c r="AH6" s="3" t="b">
        <f>OR(Table_LuT_Deelnemers[[#This Row],[Verkorte Referentienaam Deelnemer]]&lt;&gt;"DN1",NOT(Table_LuT_Deelnemers[[#This Row],[Penvoerder niet leeg?]]),NOT(Table_LuT_Deelnemers[[#This Row],[Is Buitenlandse Organisatie]]))</f>
        <v>1</v>
      </c>
      <c r="AI6" s="3" t="b">
        <f>OR(NOT(Table_LuT_Deelnemers[[#This Row],[DN niet leeg?]]),Table_LuT_Deelnemers[[#This Row],[Is Buitenlandse Organisatie]],Table_LuT_Deelnemers[[#This Row],[KVK niet leeg?]])</f>
        <v>1</v>
      </c>
      <c r="AJ6" s="3" t="b">
        <f>OR(NOT(Table_LuT_Deelnemers[[#This Row],[DN niet leeg?]]),Table_LuT_Deelnemers[[#This Row],[Is Buitenlandse Organisatie]],AND(Table_LuT_Deelnemers[[#This Row],[KVK niet leeg?]],LEN(Table_LuT_Deelnemers[[#This Row],[KVK-nummer]])&lt;=8))</f>
        <v>1</v>
      </c>
      <c r="AK6" s="3" t="b">
        <f>OR(NOT(Table_LuT_Deelnemers[[#This Row],[DN niet leeg?]]),NOT(Table_LuT_Deelnemers[[#This Row],[Is Buitenlandse Organisatie]]),NOT(Table_LuT_Deelnemers[[#This Row],[KVK niet leeg?]]))</f>
        <v>1</v>
      </c>
      <c r="AL6" s="3" t="b">
        <f ca="1">OR(NOT(Table_LuT_Deelnemers[[#This Row],[DN niet leeg?]]),Table_LuT_Deelnemers[[#This Row],[Kostensystematiek niet leeg?]])</f>
        <v>1</v>
      </c>
      <c r="AM6" s="3" t="b" cm="1">
        <f t="array" aca="1" ref="AM6" ca="1">INDIRECT("'"&amp;Table_LuT_Deelnemers[[#This Row],[ID Deelnemer]]&amp;"'!Check_Vaste_uurtarief")</f>
        <v>1</v>
      </c>
      <c r="AN6" s="3" t="b" cm="1">
        <f t="array" ref="AN6">OR(NOT(Table_LuT_Deelnemers[[#This Row],[Is Penvoerder?]]),NOT(Table_LuT_Deelnemers[[#This Row],[DN niet leeg?]]),AND(OR(Var_Sub.instr.="MKB",Table_LuT_Deelnemers[[#This Row],[Is OO?]]),OR(Var_Sub.instr.&lt;&gt;"MKB",Table_LuT_Deelnemers[[#This Row],[Is MKB?]])))</f>
        <v>1</v>
      </c>
      <c r="AO6" s="3" t="b" cm="1">
        <f t="array" ref="AO6">OR(NOT(Table_LuT_Deelnemers[[#This Row],[DN niet leeg?]]),Var_Sub.instr.&lt;&gt;"MKB",Table_LuT_Deelnemers[[#This Row],[Is OO?]],Table_LuT_Deelnemers[[#This Row],[Is MKB?]])</f>
        <v>1</v>
      </c>
      <c r="AP6" s="3" t="b" cm="1">
        <f t="array" aca="1" ref="AP6" ca="1">IFERROR(Minimale_Cash_CoF&lt;=SUMIFS(Table_LuT_Deelnemers[Cash Bijdrage],Table_LuT_Deelnemers[Type Organisatie],"&lt;&gt;Onderzoeksorganisatie"),FALSE)</f>
        <v>1</v>
      </c>
      <c r="AQ6" s="3" t="b" cm="1">
        <f t="array" aca="1" ref="AQ6" ca="1">IFERROR(Minimale_Cash_CoF&lt;=SUMIFS(Table_LuT_Deelnemers[Cash Ontvangen],Table_LuT_Deelnemers[Type Organisatie],"Onderzoeksorganisatie"),FALSE)</f>
        <v>1</v>
      </c>
      <c r="AR6" s="3" t="b" cm="1">
        <f t="array" aca="1" ref="AR6" ca="1">AND(((Table_LuT_Deelnemers[Cash Bijdrage])=0) + ((Table_LuT_Deelnemers[Cash Ontvangen])=0))</f>
        <v>1</v>
      </c>
      <c r="AS6" s="3" t="b">
        <f ca="1">IFERROR(ABS(Table_LuT_Deelnemers[[#Totals],[Cash Bijdrage]]-Table_LuT_Deelnemers[[#Totals],[Cash Ontvangen]])&lt;1,FALSE)</f>
        <v>1</v>
      </c>
      <c r="AT6" s="3" t="b">
        <f ca="1">IFERROR(Table_LuT_Deelnemers[[#This Row],[Maximale Subsidie FO - HTSM^overheid]]&gt;=Table_LuT_Deelnemers[[#This Row],[Gevraagde Subsidie FO]],FALSE)</f>
        <v>1</v>
      </c>
      <c r="AU6" s="3" t="b">
        <f ca="1">IFERROR(Table_LuT_Deelnemers[[#This Row],[Maximale Subsidie IO - HTSM^overheid]]&gt;=Table_LuT_Deelnemers[[#This Row],[Gevraagde Subsidie IO]],FALSE)</f>
        <v>1</v>
      </c>
      <c r="AV6" s="3" t="b">
        <f ca="1">IFERROR(Table_LuT_Deelnemers[[#This Row],[Maximale Subsidie EO - HTSM^overheid]]&gt;=Table_LuT_Deelnemers[[#This Row],[Gevraagde Subsidie EO]],FALSE)</f>
        <v>1</v>
      </c>
      <c r="AW6" s="3" t="b" cm="1">
        <f t="array" aca="1" ref="AW6"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6" s="3" t="b">
        <f ca="1">IFERROR(Table_LuT_Deelnemers[[#Totals],[Maximale Subsidie Totaal - HTSM]]&gt;=Table_LuT_Deelnemers[[#Totals],[Gevraagde Subsidie Totaal]],FALSE)</f>
        <v>1</v>
      </c>
      <c r="AY6" s="3" t="b" cm="1">
        <f t="array" aca="1" ref="AY6" ca="1">OR(NOT(Table_LuT_Deelnemers[[#This Row],[DN niet leeg?]]),Var_Sub.instr.="MKB",Table_LuT_Deelnemers[[#This Row],[Type Organisatie]]="Onderzoeksorganisatie",Table_LuT_Deelnemers[[#This Row],[Gevraagde Subsidie Totaal]]=0)</f>
        <v>1</v>
      </c>
      <c r="AZ6" s="3" t="b" cm="1">
        <f t="array" aca="1" ref="AZ6"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6" s="3" t="b" cm="1">
        <f t="array" aca="1" ref="BA6" ca="1">IFERROR(AND(ABS((Table_LuT_Deelnemers[Kosten Totaal])-(Table_LuT_Deelnemers[Financiering Totaal]))&lt;1),FALSE)</f>
        <v>1</v>
      </c>
      <c r="BB6" s="3" t="b">
        <f ca="1">IFERROR(ABS(Table_LuT_Deelnemers[[#Totals],[Financiering Totaal]]-Table_LuT_Deelnemers[[#Totals],[Kosten Totaal]])&lt;1,FALSE)</f>
        <v>1</v>
      </c>
      <c r="BC6" s="3" t="b" cm="1">
        <f t="array" aca="1" ref="BC6" ca="1">OR(Var_Sub.instr.&lt;&gt;"MKB",AND(Table_LuT_Deelnemers[Kosten FO]=0,Table_LuT_Deelnemers[Kosten EO]=0))</f>
        <v>1</v>
      </c>
      <c r="BD6" s="3" t="b" cm="1">
        <f t="array" ref="BD6">IF(Var_Sub.instr.="MKB",AND(Table_LuT_Deelnemers[Verhouding SUM kosten OOs / SUM kosten MKBs is OK?]),TRUE)</f>
        <v>1</v>
      </c>
      <c r="BE6" s="3" t="b" cm="1">
        <f t="array" ref="BE6">IF(Var_Sub.instr.="MKB",AND(Table_LuT_Deelnemers[SUM Maximale Subsidie MKBs &lt;= € 300,000, als MKB-call],Table_LuT_Deelnemers[SUM Maximale Subsidie OOs &lt;= € 150,000, als MKB-call]),TRUE)</f>
        <v>1</v>
      </c>
      <c r="BF6" s="3" t="b" cm="1">
        <f t="array" aca="1" ref="BF6" ca="1">AND(( (Table_LuT_Deelnemers[Naam Organisatie]&lt;&gt;"") + ((Table_LuT_Deelnemers[Cash Bijdrage]=0) * (Table_LuT_Deelnemers[Financiering Totaal]=0)) ))</f>
        <v>1</v>
      </c>
      <c r="BG6" s="3" t="b" cm="1">
        <f t="array" aca="1" ref="BG6" ca="1">IFERROR(AND((Table_LuT_Deelnemers[[Cash Bijdrage]:[Gevraagde Subsidie EO]]="") + (ISNUMBER(Table_LuT_Deelnemers[[Cash Bijdrage]:[Gevraagde Subsidie EO]]) * (Table_LuT_Deelnemers[[Cash Bijdrage]:[Gevraagde Subsidie EO]]&gt;=0) * (MOD(Table_LuT_Deelnemers[[Cash Bijdrage]:[Gevraagde Subsidie EO]],1)=0))),FALSE)</f>
        <v>1</v>
      </c>
      <c r="BH6" s="246" t="b">
        <f t="shared" si="4"/>
        <v>0</v>
      </c>
      <c r="BI6" s="19" t="b">
        <f ca="1">AND(Table_LuT_Deelnemers[[#This Row],[Check 005]:[Check 990]])</f>
        <v>0</v>
      </c>
      <c r="BJ6" s="11">
        <f>SUMIFS(Table_LuT_Deelnemers[Kosten Totaal],Table_LuT_Deelnemers[Is MKB?],TRUE)</f>
        <v>0</v>
      </c>
      <c r="BK6" s="11">
        <f>SUMIFS(Table_LuT_Deelnemers[Kosten Totaal],Table_LuT_Deelnemers[Is OO?],TRUE)</f>
        <v>0</v>
      </c>
      <c r="BL6" s="243" t="b" cm="1">
        <f t="array" ref="BL6">IF(Var_Sub.instr.="MKB",IF(Table_LuT_Deelnemers[[#This Row],[SUM Kosten MKBs]]=0,FALSE,Table_LuT_Deelnemers[[#This Row],[SUM Kosten OOs]]/Table_LuT_Deelnemers[[#This Row],[SUM Kosten MKBs]]&lt;=0.5),TRUE)</f>
        <v>1</v>
      </c>
      <c r="BM6" s="8" cm="1">
        <f t="array" aca="1" ref="BM6" ca="1">INDIRECT("Kst_FO_"&amp;Table_LuT_Deelnemers[[#This Row],[Verkorte Referentienaam Deelnemer]])</f>
        <v>0</v>
      </c>
      <c r="BN6" s="8" cm="1">
        <f t="array" aca="1" ref="BN6" ca="1">INDIRECT("Kst_IO_"&amp;Table_LuT_Deelnemers[[#This Row],[Verkorte Referentienaam Deelnemer]])</f>
        <v>0</v>
      </c>
      <c r="BO6" s="8" cm="1">
        <f t="array" aca="1" ref="BO6" ca="1">INDIRECT("Kst_EO_"&amp;Table_LuT_Deelnemers[[#This Row],[Verkorte Referentienaam Deelnemer]])</f>
        <v>0</v>
      </c>
      <c r="BP6" s="8" cm="1">
        <f t="array" aca="1" ref="BP6" ca="1">INDIRECT("Kst_Tot_"&amp;Table_LuT_Deelnemers[[#This Row],[Verkorte Referentienaam Deelnemer]])</f>
        <v>0</v>
      </c>
      <c r="BQ6" s="330" cm="1">
        <f t="array" aca="1" ref="BQ6" ca="1">INDIRECT("'"&amp;A6&amp;"'!Kosten_Apparatuur")</f>
        <v>0</v>
      </c>
      <c r="BR6" s="8" cm="1">
        <f t="array" aca="1" ref="BR6" ca="1">INDIRECT("Max_Sub_FO_"&amp;Table_LuT_Deelnemers[[#This Row],[Verkorte Referentienaam Deelnemer]])</f>
        <v>0</v>
      </c>
      <c r="BS6" s="8" cm="1">
        <f t="array" aca="1" ref="BS6" ca="1">INDIRECT("Max_Sub_IO_"&amp;Table_LuT_Deelnemers[[#This Row],[Verkorte Referentienaam Deelnemer]])</f>
        <v>0</v>
      </c>
      <c r="BT6" s="8" cm="1">
        <f t="array" aca="1" ref="BT6" ca="1">INDIRECT("Max_Sub_EO_"&amp;Table_LuT_Deelnemers[[#This Row],[Verkorte Referentienaam Deelnemer]])</f>
        <v>0</v>
      </c>
      <c r="BU6" s="328" cm="1">
        <f t="array" aca="1" ref="BU6" ca="1">INDIRECT("Max_Sub_"&amp;Table_LuT_Deelnemers[[#This Row],[Verkorte Referentienaam Deelnemer]])</f>
        <v>0</v>
      </c>
      <c r="BV6" s="190" cm="1">
        <f t="array" aca="1" ref="BV6" ca="1">INDIRECT("Cash_"&amp;Table_LuT_Deelnemers[[#This Row],[Verkorte Referentienaam Deelnemer]])</f>
        <v>0</v>
      </c>
      <c r="BW6" s="8" cm="1">
        <f t="array" aca="1" ref="BW6" ca="1">INDIRECT("Cash_Ontvangen_"&amp;Table_LuT_Deelnemers[[#This Row],[Verkorte Referentienaam Deelnemer]])</f>
        <v>0</v>
      </c>
      <c r="BX6" s="8" cm="1">
        <f t="array" aca="1" ref="BX6" ca="1">INDIRECT("In_kind_"&amp;Table_LuT_Deelnemers[[#This Row],[Verkorte Referentienaam Deelnemer]])</f>
        <v>0</v>
      </c>
      <c r="BY6" s="8" cm="1">
        <f t="array" aca="1" ref="BY6" ca="1">INDIRECT("Overige_Subsidies_"&amp;Table_LuT_Deelnemers[[#This Row],[Verkorte Referentienaam Deelnemer]])</f>
        <v>0</v>
      </c>
      <c r="BZ6" s="190" cm="1">
        <f t="array" aca="1" ref="BZ6" ca="1">INDIRECT("Subsidie_FO_"&amp;Table_LuT_Deelnemers[[#This Row],[Verkorte Referentienaam Deelnemer]])</f>
        <v>0</v>
      </c>
      <c r="CA6" s="190" cm="1">
        <f t="array" aca="1" ref="CA6" ca="1">INDIRECT("Subsidie_IO_"&amp;Table_LuT_Deelnemers[[#This Row],[Verkorte Referentienaam Deelnemer]])</f>
        <v>0</v>
      </c>
      <c r="CB6" s="190" cm="1">
        <f t="array" aca="1" ref="CB6" ca="1">INDIRECT("Subsidie_EO_"&amp;Table_LuT_Deelnemers[[#This Row],[Verkorte Referentienaam Deelnemer]])</f>
        <v>0</v>
      </c>
      <c r="CC6" s="8" cm="1">
        <f t="array" aca="1" ref="CC6" ca="1">INDIRECT("Subsidie_"&amp;Table_LuT_Deelnemers[[#This Row],[Verkorte Referentienaam Deelnemer]])</f>
        <v>0</v>
      </c>
      <c r="CD6" s="254" cm="1">
        <f t="array" aca="1" ref="CD6" ca="1">INDIRECT("Fin_Tot_"&amp;Table_LuT_Deelnemers[[#This Row],[Verkorte Referentienaam Deelnemer]])</f>
        <v>0</v>
      </c>
      <c r="CE6" s="8">
        <f ca="1">_xlfn.LET(_xlpm.Var_Delta,Table_LuT_Deelnemers[[#This Row],[Gevraagde Subsidie FO]]-Table_LuT_Deelnemers[[#This Row],[Maximale Subsidie FO - HTSM^overheid]],IF(_xlpm.Var_Delta&gt;0,_xlpm.Var_Delta,0))</f>
        <v>0</v>
      </c>
      <c r="CF6" s="8">
        <f ca="1">_xlfn.LET(_xlpm.Var_Delta,Table_LuT_Deelnemers[[#This Row],[Gevraagde Subsidie IO]]-Table_LuT_Deelnemers[[#This Row],[Maximale Subsidie IO - HTSM^overheid]],IF(_xlpm.Var_Delta&gt;0,_xlpm.Var_Delta,0))</f>
        <v>0</v>
      </c>
      <c r="CG6" s="8">
        <f ca="1">_xlfn.LET(_xlpm.Var_Delta,Table_LuT_Deelnemers[[#This Row],[Gevraagde Subsidie EO]]-Table_LuT_Deelnemers[[#This Row],[Maximale Subsidie EO - HTSM^overheid]],IF(_xlpm.Var_Delta&gt;0,_xlpm.Var_Delta,0))</f>
        <v>0</v>
      </c>
      <c r="CH6" s="8">
        <f ca="1">_xlfn.LET(_xlpm.Var_Delta,Table_LuT_Deelnemers[[#This Row],[Gevraagde Subsidie Totaal]]-Table_LuT_Deelnemers[[#This Row],[Maximale Subsidie Totaal - HTSM^overheid]],IF(_xlpm.Var_Delta&gt;0,_xlpm.Var_Delta,0))</f>
        <v>0</v>
      </c>
      <c r="CI6" s="11">
        <f>SUMIFS(Table_LuT_Deelnemers[Gevraagde Subsidie Totaal],Table_LuT_Deelnemers[Is MKB?],TRUE)</f>
        <v>0</v>
      </c>
      <c r="CJ6" s="11">
        <f>SUMIFS(Table_LuT_Deelnemers[Gevraagde Subsidie Totaal],Table_LuT_Deelnemers[Is OO?],TRUE)</f>
        <v>0</v>
      </c>
      <c r="CK6" s="11" t="b" cm="1">
        <f t="array" ref="CK6">IF(Var_Sub.instr.="MKB",Table_LuT_Deelnemers[[#This Row],[SUM Gevraagde Subsidie MKBs]]&lt;=Var_MaxSub_MKB_call_MKB,TRUE)</f>
        <v>1</v>
      </c>
      <c r="CL6" s="243" t="b" cm="1">
        <f t="array" ref="CL6">IF(Var_Sub.instr.="MKB",Table_LuT_Deelnemers[[#This Row],[SUM Gevraagde Subsidie OOs]]&lt;=Var_MaxSub_MKB_call_OO,TRUE)</f>
        <v>1</v>
      </c>
      <c r="CM6" s="8">
        <f ca="1">SUMIFS(Table_LuT_Begroting_Deelnemers[Maximale Subsidie - overheid],Table_LuT_Begroting_Deelnemers[Verkorte Referentienaam Deelnemer],Table_LuT_Deelnemers[[#This Row],[Verkorte Referentienaam Deelnemer]],Table_LuT_Begroting_Deelnemers[FO | IO | EO],"FO")</f>
        <v>0</v>
      </c>
      <c r="CN6" s="8">
        <f ca="1">SUMIFS(Table_LuT_Begroting_Deelnemers[Maximale Subsidie - overheid],Table_LuT_Begroting_Deelnemers[Verkorte Referentienaam Deelnemer],Table_LuT_Deelnemers[[#This Row],[Verkorte Referentienaam Deelnemer]],Table_LuT_Begroting_Deelnemers[FO | IO | EO],"IO")</f>
        <v>0</v>
      </c>
      <c r="CO6" s="8">
        <f ca="1">SUMIFS(Table_LuT_Begroting_Deelnemers[Maximale Subsidie - overheid],Table_LuT_Begroting_Deelnemers[Verkorte Referentienaam Deelnemer],Table_LuT_Deelnemers[[#This Row],[Verkorte Referentienaam Deelnemer]],Table_LuT_Begroting_Deelnemers[FO | IO | EO],"EO")</f>
        <v>0</v>
      </c>
      <c r="CP6" s="328">
        <f ca="1">SUMIFS(Table_LuT_Begroting_Deelnemers[Maximale Subsidie - overheid],Table_LuT_Begroting_Deelnemers[Verkorte Referentienaam Deelnemer],Table_LuT_Deelnemers[[#This Row],[Verkorte Referentienaam Deelnemer]])</f>
        <v>0</v>
      </c>
      <c r="CQ6" s="8">
        <f ca="1">IF(Table_LuT_Deelnemers[[#This Row],[Is OO?]],Table_LuT_Deelnemers[[#This Row],[Maximale Subsidie FO - overheid]],Table_LuT_Deelnemers[[#This Row],[Maximale Subsidie FO - HTSM]])</f>
        <v>0</v>
      </c>
      <c r="CR6" s="8">
        <f ca="1">IF(Table_LuT_Deelnemers[[#This Row],[Is OO?]],Table_LuT_Deelnemers[[#This Row],[Maximale Subsidie IO - overheid]],Table_LuT_Deelnemers[[#This Row],[Maximale Subsidie IO - HTSM]])</f>
        <v>0</v>
      </c>
      <c r="CS6" s="8">
        <f ca="1">IF(Table_LuT_Deelnemers[[#This Row],[Is OO?]],Table_LuT_Deelnemers[[#This Row],[Maximale Subsidie EO - overheid]],Table_LuT_Deelnemers[[#This Row],[Maximale Subsidie EO - HTSM]])</f>
        <v>0</v>
      </c>
      <c r="CT6" s="328">
        <f ca="1">IF(Table_LuT_Deelnemers[[#This Row],[Is OO?]],Table_LuT_Deelnemers[[#This Row],[Maximale Subsidie Totaal - overheid]],Table_LuT_Deelnemers[[#This Row],[Maximale Subsidie Totaal - HTSM]])</f>
        <v>0</v>
      </c>
      <c r="CU6" s="11">
        <f>SUMIFS(Table_LuT_Deelnemers[Gevraagde Subsidie Totaal],Table_LuT_Deelnemers[Is OO?],TRUE)</f>
        <v>0</v>
      </c>
      <c r="CV6" s="11">
        <f ca="1">SUMIFS(Table_LuT_Begroting_Deelnemers[Maximale Subsidie OO - overheid],Table_LuT_Begroting_Deelnemers[Is OO?],TRUE)</f>
        <v>0</v>
      </c>
      <c r="CW6" s="11">
        <f ca="1">SUMIFS(Table_LuT_Begroting_Deelnemers[Maximale Subsidie OO - HTSM],Table_LuT_Begroting_Deelnemers[Is OO?],TRUE)</f>
        <v>0</v>
      </c>
      <c r="CX6" s="11">
        <f ca="1">SUMIFS(Table_LuT_Begroting_Deelnemers[Maximale Subsidie MKB - HTSM],Table_LuT_Begroting_Deelnemers[Is MKB?],TRUE)</f>
        <v>0</v>
      </c>
      <c r="CY6" s="11">
        <f ca="1">Table_LuT_Deelnemers[[#This Row],[SUM Maximale Subsidie - OO - HTSM]]+Table_LuT_Deelnemers[[#This Row],[SUM Maximale Subsidie - MKB - HTSM]]</f>
        <v>0</v>
      </c>
      <c r="CZ6" s="11">
        <f ca="1">MIN(Table_LuT_Deelnemers[[#This Row],[SUM  Maximale Subsidie - OO - overheid]],Table_LuT_Deelnemers[[#This Row],[SUM Maximale Subsidie - OO+MKB - HTSM]])</f>
        <v>0</v>
      </c>
    </row>
    <row r="7" spans="1:104" ht="15" customHeight="1" x14ac:dyDescent="0.25">
      <c r="A7" s="2" t="s">
        <v>63</v>
      </c>
      <c r="B7" s="2" t="s">
        <v>72</v>
      </c>
      <c r="C7" s="2" t="s">
        <v>91</v>
      </c>
      <c r="D7" s="3" t="str">
        <f>Table_LuT_Deelnemers[[#This Row],[ID Deelnemer]]</f>
        <v>Deelnemer 6</v>
      </c>
      <c r="E7" s="3" t="str" cm="1">
        <f t="array" ref="E7">IF(NOT(Table_LuT_Deelnemers[[#This Row],[DN niet leeg?]]),"",_xlfn.XLOOKUP(Table_LuT_Deelnemers[[#This Row],[ID Deelnemer]],INDEX(Range_Deelnemer_Nrs,,1),INDEX(Range_Deelnemer_Nrs,,2),"",0,1))</f>
        <v/>
      </c>
      <c r="F7" s="3" t="str" cm="1">
        <f t="array" ref="F7">IF(NOT(Table_LuT_Deelnemers[[#This Row],[Type Organisatie niet leeg?]]),"",_xlfn.XLOOKUP(Table_LuT_Deelnemers[[#This Row],[ID Deelnemer]],INDEX(Range_Deelnemer_Nrs,,1),INDEX(Range_Deelnemer_Nrs,,3),"",0,1))</f>
        <v/>
      </c>
      <c r="G7" s="3" t="str" cm="1">
        <f t="array" ref="G7">IF(NOT(Table_LuT_Deelnemers[[#This Row],[Type Organisatie niet leeg?]]),"",_xlfn.XLOOKUP(Table_LuT_Deelnemers[[#This Row],[Type Organisatie]],ValList_Type_Organisatie,Table_Val_List_Type_Org[TO]))</f>
        <v/>
      </c>
      <c r="H7" s="3" t="str" cm="1">
        <f t="array" ref="H7">IF(NOT(Table_LuT_Deelnemers[[#This Row],[KVK niet leeg?]]),"",_xlfn.XLOOKUP(Table_LuT_Deelnemers[[#This Row],[ID Deelnemer]],INDEX(Range_Deelnemer_Nrs,,1),INDEX(Range_Deelnemer_Nrs,,4),"",0,1))</f>
        <v/>
      </c>
      <c r="I7" s="3" t="str" cm="1">
        <f t="array" ref="I7">IF(NOT(Table_LuT_Deelnemers[[#This Row],[DN niet leeg?]]),"",IF(NOT(Table_LuT_Deelnemers[[#This Row],[Is Buitenlandse Organisatie]]),"",_xlfn.XLOOKUP(Table_LuT_Deelnemers[[#This Row],[ID Deelnemer]],INDEX(Range_Deelnemer_Nrs,,1),INDEX(Range_Deelnemer_Nrs,,5),"",0,1)))</f>
        <v/>
      </c>
      <c r="J7" s="3" t="str" cm="1">
        <f t="array" ref="J7">IF(NOT(Table_LuT_Deelnemers[[#This Row],[DN niet leeg?]]),"",_xlfn.XLOOKUP(Table_LuT_Deelnemers[[#This Row],[ID Deelnemer]],INDEX(Range_Deelnemer_Nrs,,1),INDEX(Range_Deelnemer_Nrs,,6),"",0,1)&lt;&gt;"nee")</f>
        <v/>
      </c>
      <c r="K7" s="3" t="str" cm="1">
        <f t="array" ref="K7">IF(NOT(Table_LuT_Deelnemers[[#This Row],[DN niet leeg?]]),"",_xlfn.LET(_xlpm.website,_xlfn.XLOOKUP(Table_LuT_Deelnemers[[#This Row],[ID Deelnemer]],INDEX(Range_Deelnemer_Nrs,,1),INDEX(Range_Deelnemer_Nrs,,7),"",0,1),IF(_xlpm.website=0,"",_xlpm.website)))</f>
        <v/>
      </c>
      <c r="L7" s="19" t="str" cm="1">
        <f t="array" aca="1" ref="L7" ca="1">IF(INDIRECT("'"&amp;Table_LuT_Deelnemers[[#This Row],[Naam Sheet]]&amp;"'!Kostensystematiek")="[Maak een keuze]","",INDIRECT("'"&amp;Table_LuT_Deelnemers[[#This Row],[Naam Sheet]]&amp;"'!Kostensystematiek"))</f>
        <v/>
      </c>
      <c r="M7" s="3" t="b">
        <f>Table_LuT_Deelnemers[[#This Row],[Type Organisatie]]="MKB"</f>
        <v>0</v>
      </c>
      <c r="N7" s="3" t="b">
        <f>Table_LuT_Deelnemers[[#This Row],[Type Organisatie]]="Onderzoeksorganisatie"</f>
        <v>0</v>
      </c>
      <c r="O7" s="3" t="b">
        <f>Table_LuT_Deelnemers[[#This Row],[Type Organisatie]]="Grootbedrijf"</f>
        <v>0</v>
      </c>
      <c r="P7" s="19" t="b">
        <f>Table_LuT_Deelnemers[[#This Row],[Verkorte Referentienaam Deelnemer]]="DN1"</f>
        <v>0</v>
      </c>
      <c r="Q7" s="3" t="b">
        <f t="shared" si="0"/>
        <v>0</v>
      </c>
      <c r="R7" s="3" t="b">
        <f t="shared" si="1"/>
        <v>0</v>
      </c>
      <c r="S7" s="3" t="b" cm="1">
        <f t="array" ref="S7">NOT(ISBLANK(_xlfn.XLOOKUP(Table_LuT_Deelnemers[[#This Row],[ID Deelnemer]],INDEX(Range_Deelnemer_Nrs,,1),INDEX(Range_Deelnemer_Nrs,,2),"",0,1)))</f>
        <v>0</v>
      </c>
      <c r="T7" s="3" t="b" cm="1">
        <f t="array" ref="T7">_xlfn.XLOOKUP(Table_LuT_Deelnemers[[#This Row],[ID Deelnemer]],INDEX(Range_Deelnemer_Nrs,,1),INDEX(Range_Deelnemer_Nrs,,3),"",0,1)&lt;&gt;"[Maak een keuze]"</f>
        <v>0</v>
      </c>
      <c r="U7" s="3" t="b" cm="1">
        <f t="array" ref="U7">NOT(ISBLANK(_xlfn.XLOOKUP(Table_LuT_Deelnemers[[#This Row],[ID Deelnemer]],INDEX(Range_Deelnemer_Nrs,,1),INDEX(Range_Deelnemer_Nrs,,4),"",0,1)))</f>
        <v>0</v>
      </c>
      <c r="V7" s="3" t="b" cm="1">
        <f t="array" ref="V7">NOT(ISBLANK(_xlfn.XLOOKUP(Table_LuT_Deelnemers[[#This Row],[ID Deelnemer]],INDEX(Range_Deelnemer_Nrs,,1),INDEX(Range_Deelnemer_Nrs,,5),"",0,1)))</f>
        <v>0</v>
      </c>
      <c r="W7" s="19" t="b" cm="1">
        <f t="array" aca="1" ref="W7" ca="1">INDIRECT("'"&amp;Table_LuT_Deelnemers[[#This Row],[Naam Sheet]]&amp;"'!Kostensystematiek")&lt;&gt;"[Maak een keuze]"</f>
        <v>0</v>
      </c>
      <c r="X7" s="248" t="b">
        <f>OR(NOT(Table_LuT_Deelnemers[[#This Row],[DN niet leeg?]]),Table_LuT_Deelnemers[[#This Row],[Is OO?]],NOT(Table_LuT_Deelnemers[[#This Row],[Is GB?]]))</f>
        <v>1</v>
      </c>
      <c r="Y7" s="3" t="b">
        <f>OR(Table_LuT_Deelnemers[[#This Row],[Verkorte Referentienaam Deelnemer]]&lt;&gt;"DN1",NOT(Table_LuT_Deelnemers[[#This Row],[Penvoerder niet leeg?]]),AND(Subsidie_instrument&lt;&gt;"[Maak een keuze]",NOT(ISBLANK(Projecttitel)),NOT(ISBLANK(Projectacroniem))))</f>
        <v>1</v>
      </c>
      <c r="Z7" s="3" t="b">
        <f t="shared" si="2"/>
        <v>1</v>
      </c>
      <c r="AA7" s="3" t="b">
        <f t="shared" si="3"/>
        <v>1</v>
      </c>
      <c r="AB7" s="3" t="b">
        <f>OR(Table_LuT_Deelnemers[[#This Row],[Verkorte Referentienaam Deelnemer]]&lt;&gt;"DN1",Table_LuT_Deelnemers[[#This Row],[Penvoerder niet leeg?]],NOT(Table_LuT_Deelnemers[[#This Row],[DN2 niet leeg?]]))</f>
        <v>1</v>
      </c>
      <c r="AC7" s="3" t="b">
        <f>OR(Table_LuT_Deelnemers[[#This Row],[Verkorte Referentienaam Deelnemer]]&lt;&gt;"DN2",NOT(_xlfn.XOR(Table_LuT_Deelnemers[[#This Row],[Penvoerder niet leeg?]],Table_LuT_Deelnemers[[#This Row],[DN2 niet leeg?]])))</f>
        <v>1</v>
      </c>
      <c r="AD7" s="3" t="b">
        <f>OR(Table_LuT_Deelnemers[[#This Row],[Verkorte Referentienaam Deelnemer]]="DN1",NOT(Table_LuT_Deelnemers[[#This Row],[DN niet leeg?]]),AND(S$2:S6))</f>
        <v>1</v>
      </c>
      <c r="AE7"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7" s="3" t="b">
        <f>OR(NOT(Table_LuT_Deelnemers[[#This Row],[DN niet leeg?]]),NOT(Table_LuT_Deelnemers[[#This Row],[DN2 niet leeg?]]),OR(Table_LuT_Deelnemers[Is OO?]))</f>
        <v>1</v>
      </c>
      <c r="AG7" s="3" t="b">
        <f>OR(Table_LuT_Deelnemers[[#This Row],[Verkorte Referentienaam Deelnemer]]="DN1",NOT(_xlfn.XOR(Table_LuT_Deelnemers[[#This Row],[DN niet leeg?]],Table_LuT_Deelnemers[[#This Row],[Type Organisatie niet leeg?]])))</f>
        <v>1</v>
      </c>
      <c r="AH7" s="3" t="b">
        <f>OR(Table_LuT_Deelnemers[[#This Row],[Verkorte Referentienaam Deelnemer]]&lt;&gt;"DN1",NOT(Table_LuT_Deelnemers[[#This Row],[Penvoerder niet leeg?]]),NOT(Table_LuT_Deelnemers[[#This Row],[Is Buitenlandse Organisatie]]))</f>
        <v>1</v>
      </c>
      <c r="AI7" s="3" t="b">
        <f>OR(NOT(Table_LuT_Deelnemers[[#This Row],[DN niet leeg?]]),Table_LuT_Deelnemers[[#This Row],[Is Buitenlandse Organisatie]],Table_LuT_Deelnemers[[#This Row],[KVK niet leeg?]])</f>
        <v>1</v>
      </c>
      <c r="AJ7" s="3" t="b">
        <f>OR(NOT(Table_LuT_Deelnemers[[#This Row],[DN niet leeg?]]),Table_LuT_Deelnemers[[#This Row],[Is Buitenlandse Organisatie]],AND(Table_LuT_Deelnemers[[#This Row],[KVK niet leeg?]],LEN(Table_LuT_Deelnemers[[#This Row],[KVK-nummer]])&lt;=8))</f>
        <v>1</v>
      </c>
      <c r="AK7" s="3" t="b">
        <f>OR(NOT(Table_LuT_Deelnemers[[#This Row],[DN niet leeg?]]),NOT(Table_LuT_Deelnemers[[#This Row],[Is Buitenlandse Organisatie]]),NOT(Table_LuT_Deelnemers[[#This Row],[KVK niet leeg?]]))</f>
        <v>1</v>
      </c>
      <c r="AL7" s="3" t="b">
        <f ca="1">OR(NOT(Table_LuT_Deelnemers[[#This Row],[DN niet leeg?]]),Table_LuT_Deelnemers[[#This Row],[Kostensystematiek niet leeg?]])</f>
        <v>1</v>
      </c>
      <c r="AM7" s="3" t="b" cm="1">
        <f t="array" aca="1" ref="AM7" ca="1">INDIRECT("'"&amp;Table_LuT_Deelnemers[[#This Row],[ID Deelnemer]]&amp;"'!Check_Vaste_uurtarief")</f>
        <v>1</v>
      </c>
      <c r="AN7" s="3" t="b" cm="1">
        <f t="array" ref="AN7">OR(NOT(Table_LuT_Deelnemers[[#This Row],[Is Penvoerder?]]),NOT(Table_LuT_Deelnemers[[#This Row],[DN niet leeg?]]),AND(OR(Var_Sub.instr.="MKB",Table_LuT_Deelnemers[[#This Row],[Is OO?]]),OR(Var_Sub.instr.&lt;&gt;"MKB",Table_LuT_Deelnemers[[#This Row],[Is MKB?]])))</f>
        <v>1</v>
      </c>
      <c r="AO7" s="3" t="b" cm="1">
        <f t="array" ref="AO7">OR(NOT(Table_LuT_Deelnemers[[#This Row],[DN niet leeg?]]),Var_Sub.instr.&lt;&gt;"MKB",Table_LuT_Deelnemers[[#This Row],[Is OO?]],Table_LuT_Deelnemers[[#This Row],[Is MKB?]])</f>
        <v>1</v>
      </c>
      <c r="AP7" s="3" t="b" cm="1">
        <f t="array" aca="1" ref="AP7" ca="1">IFERROR(Minimale_Cash_CoF&lt;=SUMIFS(Table_LuT_Deelnemers[Cash Bijdrage],Table_LuT_Deelnemers[Type Organisatie],"&lt;&gt;Onderzoeksorganisatie"),FALSE)</f>
        <v>1</v>
      </c>
      <c r="AQ7" s="3" t="b" cm="1">
        <f t="array" aca="1" ref="AQ7" ca="1">IFERROR(Minimale_Cash_CoF&lt;=SUMIFS(Table_LuT_Deelnemers[Cash Ontvangen],Table_LuT_Deelnemers[Type Organisatie],"Onderzoeksorganisatie"),FALSE)</f>
        <v>1</v>
      </c>
      <c r="AR7" s="3" t="b" cm="1">
        <f t="array" aca="1" ref="AR7" ca="1">AND(((Table_LuT_Deelnemers[Cash Bijdrage])=0) + ((Table_LuT_Deelnemers[Cash Ontvangen])=0))</f>
        <v>1</v>
      </c>
      <c r="AS7" s="3" t="b">
        <f ca="1">IFERROR(ABS(Table_LuT_Deelnemers[[#Totals],[Cash Bijdrage]]-Table_LuT_Deelnemers[[#Totals],[Cash Ontvangen]])&lt;1,FALSE)</f>
        <v>1</v>
      </c>
      <c r="AT7" s="3" t="b">
        <f ca="1">IFERROR(Table_LuT_Deelnemers[[#This Row],[Maximale Subsidie FO - HTSM^overheid]]&gt;=Table_LuT_Deelnemers[[#This Row],[Gevraagde Subsidie FO]],FALSE)</f>
        <v>1</v>
      </c>
      <c r="AU7" s="3" t="b">
        <f ca="1">IFERROR(Table_LuT_Deelnemers[[#This Row],[Maximale Subsidie IO - HTSM^overheid]]&gt;=Table_LuT_Deelnemers[[#This Row],[Gevraagde Subsidie IO]],FALSE)</f>
        <v>1</v>
      </c>
      <c r="AV7" s="3" t="b">
        <f ca="1">IFERROR(Table_LuT_Deelnemers[[#This Row],[Maximale Subsidie EO - HTSM^overheid]]&gt;=Table_LuT_Deelnemers[[#This Row],[Gevraagde Subsidie EO]],FALSE)</f>
        <v>1</v>
      </c>
      <c r="AW7" s="3" t="b" cm="1">
        <f t="array" aca="1" ref="AW7"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7" s="3" t="b">
        <f ca="1">IFERROR(Table_LuT_Deelnemers[[#Totals],[Maximale Subsidie Totaal - HTSM]]&gt;=Table_LuT_Deelnemers[[#Totals],[Gevraagde Subsidie Totaal]],FALSE)</f>
        <v>1</v>
      </c>
      <c r="AY7" s="3" t="b" cm="1">
        <f t="array" aca="1" ref="AY7" ca="1">OR(NOT(Table_LuT_Deelnemers[[#This Row],[DN niet leeg?]]),Var_Sub.instr.="MKB",Table_LuT_Deelnemers[[#This Row],[Type Organisatie]]="Onderzoeksorganisatie",Table_LuT_Deelnemers[[#This Row],[Gevraagde Subsidie Totaal]]=0)</f>
        <v>1</v>
      </c>
      <c r="AZ7" s="3" t="b" cm="1">
        <f t="array" aca="1" ref="AZ7"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7" s="3" t="b" cm="1">
        <f t="array" aca="1" ref="BA7" ca="1">IFERROR(AND(ABS((Table_LuT_Deelnemers[Kosten Totaal])-(Table_LuT_Deelnemers[Financiering Totaal]))&lt;1),FALSE)</f>
        <v>1</v>
      </c>
      <c r="BB7" s="3" t="b">
        <f ca="1">IFERROR(ABS(Table_LuT_Deelnemers[[#Totals],[Financiering Totaal]]-Table_LuT_Deelnemers[[#Totals],[Kosten Totaal]])&lt;1,FALSE)</f>
        <v>1</v>
      </c>
      <c r="BC7" s="3" t="b" cm="1">
        <f t="array" aca="1" ref="BC7" ca="1">OR(Var_Sub.instr.&lt;&gt;"MKB",AND(Table_LuT_Deelnemers[Kosten FO]=0,Table_LuT_Deelnemers[Kosten EO]=0))</f>
        <v>1</v>
      </c>
      <c r="BD7" s="3" t="b" cm="1">
        <f t="array" ref="BD7">IF(Var_Sub.instr.="MKB",AND(Table_LuT_Deelnemers[Verhouding SUM kosten OOs / SUM kosten MKBs is OK?]),TRUE)</f>
        <v>1</v>
      </c>
      <c r="BE7" s="3" t="b" cm="1">
        <f t="array" ref="BE7">IF(Var_Sub.instr.="MKB",AND(Table_LuT_Deelnemers[SUM Maximale Subsidie MKBs &lt;= € 300,000, als MKB-call],Table_LuT_Deelnemers[SUM Maximale Subsidie OOs &lt;= € 150,000, als MKB-call]),TRUE)</f>
        <v>1</v>
      </c>
      <c r="BF7" s="3" t="b" cm="1">
        <f t="array" aca="1" ref="BF7" ca="1">AND(( (Table_LuT_Deelnemers[Naam Organisatie]&lt;&gt;"") + ((Table_LuT_Deelnemers[Cash Bijdrage]=0) * (Table_LuT_Deelnemers[Financiering Totaal]=0)) ))</f>
        <v>1</v>
      </c>
      <c r="BG7" s="3" t="b" cm="1">
        <f t="array" aca="1" ref="BG7" ca="1">IFERROR(AND((Table_LuT_Deelnemers[[Cash Bijdrage]:[Gevraagde Subsidie EO]]="") + (ISNUMBER(Table_LuT_Deelnemers[[Cash Bijdrage]:[Gevraagde Subsidie EO]]) * (Table_LuT_Deelnemers[[Cash Bijdrage]:[Gevraagde Subsidie EO]]&gt;=0) * (MOD(Table_LuT_Deelnemers[[Cash Bijdrage]:[Gevraagde Subsidie EO]],1)=0))),FALSE)</f>
        <v>1</v>
      </c>
      <c r="BH7" s="246" t="b">
        <f t="shared" si="4"/>
        <v>0</v>
      </c>
      <c r="BI7" s="19" t="b">
        <f ca="1">AND(Table_LuT_Deelnemers[[#This Row],[Check 005]:[Check 990]])</f>
        <v>0</v>
      </c>
      <c r="BJ7" s="11">
        <f>SUMIFS(Table_LuT_Deelnemers[Kosten Totaal],Table_LuT_Deelnemers[Is MKB?],TRUE)</f>
        <v>0</v>
      </c>
      <c r="BK7" s="11">
        <f>SUMIFS(Table_LuT_Deelnemers[Kosten Totaal],Table_LuT_Deelnemers[Is OO?],TRUE)</f>
        <v>0</v>
      </c>
      <c r="BL7" s="243" t="b" cm="1">
        <f t="array" ref="BL7">IF(Var_Sub.instr.="MKB",IF(Table_LuT_Deelnemers[[#This Row],[SUM Kosten MKBs]]=0,FALSE,Table_LuT_Deelnemers[[#This Row],[SUM Kosten OOs]]/Table_LuT_Deelnemers[[#This Row],[SUM Kosten MKBs]]&lt;=0.5),TRUE)</f>
        <v>1</v>
      </c>
      <c r="BM7" s="8" cm="1">
        <f t="array" aca="1" ref="BM7" ca="1">INDIRECT("Kst_FO_"&amp;Table_LuT_Deelnemers[[#This Row],[Verkorte Referentienaam Deelnemer]])</f>
        <v>0</v>
      </c>
      <c r="BN7" s="8" cm="1">
        <f t="array" aca="1" ref="BN7" ca="1">INDIRECT("Kst_IO_"&amp;Table_LuT_Deelnemers[[#This Row],[Verkorte Referentienaam Deelnemer]])</f>
        <v>0</v>
      </c>
      <c r="BO7" s="8" cm="1">
        <f t="array" aca="1" ref="BO7" ca="1">INDIRECT("Kst_EO_"&amp;Table_LuT_Deelnemers[[#This Row],[Verkorte Referentienaam Deelnemer]])</f>
        <v>0</v>
      </c>
      <c r="BP7" s="8" cm="1">
        <f t="array" aca="1" ref="BP7" ca="1">INDIRECT("Kst_Tot_"&amp;Table_LuT_Deelnemers[[#This Row],[Verkorte Referentienaam Deelnemer]])</f>
        <v>0</v>
      </c>
      <c r="BQ7" s="330" cm="1">
        <f t="array" aca="1" ref="BQ7" ca="1">INDIRECT("'"&amp;A7&amp;"'!Kosten_Apparatuur")</f>
        <v>0</v>
      </c>
      <c r="BR7" s="8" cm="1">
        <f t="array" aca="1" ref="BR7" ca="1">INDIRECT("Max_Sub_FO_"&amp;Table_LuT_Deelnemers[[#This Row],[Verkorte Referentienaam Deelnemer]])</f>
        <v>0</v>
      </c>
      <c r="BS7" s="8" cm="1">
        <f t="array" aca="1" ref="BS7" ca="1">INDIRECT("Max_Sub_IO_"&amp;Table_LuT_Deelnemers[[#This Row],[Verkorte Referentienaam Deelnemer]])</f>
        <v>0</v>
      </c>
      <c r="BT7" s="8" cm="1">
        <f t="array" aca="1" ref="BT7" ca="1">INDIRECT("Max_Sub_EO_"&amp;Table_LuT_Deelnemers[[#This Row],[Verkorte Referentienaam Deelnemer]])</f>
        <v>0</v>
      </c>
      <c r="BU7" s="328" cm="1">
        <f t="array" aca="1" ref="BU7" ca="1">INDIRECT("Max_Sub_"&amp;Table_LuT_Deelnemers[[#This Row],[Verkorte Referentienaam Deelnemer]])</f>
        <v>0</v>
      </c>
      <c r="BV7" s="190" cm="1">
        <f t="array" aca="1" ref="BV7" ca="1">INDIRECT("Cash_"&amp;Table_LuT_Deelnemers[[#This Row],[Verkorte Referentienaam Deelnemer]])</f>
        <v>0</v>
      </c>
      <c r="BW7" s="8" cm="1">
        <f t="array" aca="1" ref="BW7" ca="1">INDIRECT("Cash_Ontvangen_"&amp;Table_LuT_Deelnemers[[#This Row],[Verkorte Referentienaam Deelnemer]])</f>
        <v>0</v>
      </c>
      <c r="BX7" s="8" cm="1">
        <f t="array" aca="1" ref="BX7" ca="1">INDIRECT("In_kind_"&amp;Table_LuT_Deelnemers[[#This Row],[Verkorte Referentienaam Deelnemer]])</f>
        <v>0</v>
      </c>
      <c r="BY7" s="8" cm="1">
        <f t="array" aca="1" ref="BY7" ca="1">INDIRECT("Overige_Subsidies_"&amp;Table_LuT_Deelnemers[[#This Row],[Verkorte Referentienaam Deelnemer]])</f>
        <v>0</v>
      </c>
      <c r="BZ7" s="190" cm="1">
        <f t="array" aca="1" ref="BZ7" ca="1">INDIRECT("Subsidie_FO_"&amp;Table_LuT_Deelnemers[[#This Row],[Verkorte Referentienaam Deelnemer]])</f>
        <v>0</v>
      </c>
      <c r="CA7" s="190" cm="1">
        <f t="array" aca="1" ref="CA7" ca="1">INDIRECT("Subsidie_IO_"&amp;Table_LuT_Deelnemers[[#This Row],[Verkorte Referentienaam Deelnemer]])</f>
        <v>0</v>
      </c>
      <c r="CB7" s="190" cm="1">
        <f t="array" aca="1" ref="CB7" ca="1">INDIRECT("Subsidie_EO_"&amp;Table_LuT_Deelnemers[[#This Row],[Verkorte Referentienaam Deelnemer]])</f>
        <v>0</v>
      </c>
      <c r="CC7" s="8" cm="1">
        <f t="array" aca="1" ref="CC7" ca="1">INDIRECT("Subsidie_"&amp;Table_LuT_Deelnemers[[#This Row],[Verkorte Referentienaam Deelnemer]])</f>
        <v>0</v>
      </c>
      <c r="CD7" s="254" cm="1">
        <f t="array" aca="1" ref="CD7" ca="1">INDIRECT("Fin_Tot_"&amp;Table_LuT_Deelnemers[[#This Row],[Verkorte Referentienaam Deelnemer]])</f>
        <v>0</v>
      </c>
      <c r="CE7" s="8">
        <f ca="1">_xlfn.LET(_xlpm.Var_Delta,Table_LuT_Deelnemers[[#This Row],[Gevraagde Subsidie FO]]-Table_LuT_Deelnemers[[#This Row],[Maximale Subsidie FO - HTSM^overheid]],IF(_xlpm.Var_Delta&gt;0,_xlpm.Var_Delta,0))</f>
        <v>0</v>
      </c>
      <c r="CF7" s="8">
        <f ca="1">_xlfn.LET(_xlpm.Var_Delta,Table_LuT_Deelnemers[[#This Row],[Gevraagde Subsidie IO]]-Table_LuT_Deelnemers[[#This Row],[Maximale Subsidie IO - HTSM^overheid]],IF(_xlpm.Var_Delta&gt;0,_xlpm.Var_Delta,0))</f>
        <v>0</v>
      </c>
      <c r="CG7" s="8">
        <f ca="1">_xlfn.LET(_xlpm.Var_Delta,Table_LuT_Deelnemers[[#This Row],[Gevraagde Subsidie EO]]-Table_LuT_Deelnemers[[#This Row],[Maximale Subsidie EO - HTSM^overheid]],IF(_xlpm.Var_Delta&gt;0,_xlpm.Var_Delta,0))</f>
        <v>0</v>
      </c>
      <c r="CH7" s="8">
        <f ca="1">_xlfn.LET(_xlpm.Var_Delta,Table_LuT_Deelnemers[[#This Row],[Gevraagde Subsidie Totaal]]-Table_LuT_Deelnemers[[#This Row],[Maximale Subsidie Totaal - HTSM^overheid]],IF(_xlpm.Var_Delta&gt;0,_xlpm.Var_Delta,0))</f>
        <v>0</v>
      </c>
      <c r="CI7" s="11">
        <f>SUMIFS(Table_LuT_Deelnemers[Gevraagde Subsidie Totaal],Table_LuT_Deelnemers[Is MKB?],TRUE)</f>
        <v>0</v>
      </c>
      <c r="CJ7" s="11">
        <f>SUMIFS(Table_LuT_Deelnemers[Gevraagde Subsidie Totaal],Table_LuT_Deelnemers[Is OO?],TRUE)</f>
        <v>0</v>
      </c>
      <c r="CK7" s="11" t="b" cm="1">
        <f t="array" ref="CK7">IF(Var_Sub.instr.="MKB",Table_LuT_Deelnemers[[#This Row],[SUM Gevraagde Subsidie MKBs]]&lt;=Var_MaxSub_MKB_call_MKB,TRUE)</f>
        <v>1</v>
      </c>
      <c r="CL7" s="243" t="b" cm="1">
        <f t="array" ref="CL7">IF(Var_Sub.instr.="MKB",Table_LuT_Deelnemers[[#This Row],[SUM Gevraagde Subsidie OOs]]&lt;=Var_MaxSub_MKB_call_OO,TRUE)</f>
        <v>1</v>
      </c>
      <c r="CM7" s="8">
        <f ca="1">SUMIFS(Table_LuT_Begroting_Deelnemers[Maximale Subsidie - overheid],Table_LuT_Begroting_Deelnemers[Verkorte Referentienaam Deelnemer],Table_LuT_Deelnemers[[#This Row],[Verkorte Referentienaam Deelnemer]],Table_LuT_Begroting_Deelnemers[FO | IO | EO],"FO")</f>
        <v>0</v>
      </c>
      <c r="CN7" s="8">
        <f ca="1">SUMIFS(Table_LuT_Begroting_Deelnemers[Maximale Subsidie - overheid],Table_LuT_Begroting_Deelnemers[Verkorte Referentienaam Deelnemer],Table_LuT_Deelnemers[[#This Row],[Verkorte Referentienaam Deelnemer]],Table_LuT_Begroting_Deelnemers[FO | IO | EO],"IO")</f>
        <v>0</v>
      </c>
      <c r="CO7" s="8">
        <f ca="1">SUMIFS(Table_LuT_Begroting_Deelnemers[Maximale Subsidie - overheid],Table_LuT_Begroting_Deelnemers[Verkorte Referentienaam Deelnemer],Table_LuT_Deelnemers[[#This Row],[Verkorte Referentienaam Deelnemer]],Table_LuT_Begroting_Deelnemers[FO | IO | EO],"EO")</f>
        <v>0</v>
      </c>
      <c r="CP7" s="328">
        <f ca="1">SUMIFS(Table_LuT_Begroting_Deelnemers[Maximale Subsidie - overheid],Table_LuT_Begroting_Deelnemers[Verkorte Referentienaam Deelnemer],Table_LuT_Deelnemers[[#This Row],[Verkorte Referentienaam Deelnemer]])</f>
        <v>0</v>
      </c>
      <c r="CQ7" s="8">
        <f ca="1">IF(Table_LuT_Deelnemers[[#This Row],[Is OO?]],Table_LuT_Deelnemers[[#This Row],[Maximale Subsidie FO - overheid]],Table_LuT_Deelnemers[[#This Row],[Maximale Subsidie FO - HTSM]])</f>
        <v>0</v>
      </c>
      <c r="CR7" s="8">
        <f ca="1">IF(Table_LuT_Deelnemers[[#This Row],[Is OO?]],Table_LuT_Deelnemers[[#This Row],[Maximale Subsidie IO - overheid]],Table_LuT_Deelnemers[[#This Row],[Maximale Subsidie IO - HTSM]])</f>
        <v>0</v>
      </c>
      <c r="CS7" s="8">
        <f ca="1">IF(Table_LuT_Deelnemers[[#This Row],[Is OO?]],Table_LuT_Deelnemers[[#This Row],[Maximale Subsidie EO - overheid]],Table_LuT_Deelnemers[[#This Row],[Maximale Subsidie EO - HTSM]])</f>
        <v>0</v>
      </c>
      <c r="CT7" s="328">
        <f ca="1">IF(Table_LuT_Deelnemers[[#This Row],[Is OO?]],Table_LuT_Deelnemers[[#This Row],[Maximale Subsidie Totaal - overheid]],Table_LuT_Deelnemers[[#This Row],[Maximale Subsidie Totaal - HTSM]])</f>
        <v>0</v>
      </c>
      <c r="CU7" s="11">
        <f>SUMIFS(Table_LuT_Deelnemers[Gevraagde Subsidie Totaal],Table_LuT_Deelnemers[Is OO?],TRUE)</f>
        <v>0</v>
      </c>
      <c r="CV7" s="11">
        <f ca="1">SUMIFS(Table_LuT_Begroting_Deelnemers[Maximale Subsidie OO - overheid],Table_LuT_Begroting_Deelnemers[Is OO?],TRUE)</f>
        <v>0</v>
      </c>
      <c r="CW7" s="11">
        <f ca="1">SUMIFS(Table_LuT_Begroting_Deelnemers[Maximale Subsidie OO - HTSM],Table_LuT_Begroting_Deelnemers[Is OO?],TRUE)</f>
        <v>0</v>
      </c>
      <c r="CX7" s="11">
        <f ca="1">SUMIFS(Table_LuT_Begroting_Deelnemers[Maximale Subsidie MKB - HTSM],Table_LuT_Begroting_Deelnemers[Is MKB?],TRUE)</f>
        <v>0</v>
      </c>
      <c r="CY7" s="11">
        <f ca="1">Table_LuT_Deelnemers[[#This Row],[SUM Maximale Subsidie - OO - HTSM]]+Table_LuT_Deelnemers[[#This Row],[SUM Maximale Subsidie - MKB - HTSM]]</f>
        <v>0</v>
      </c>
      <c r="CZ7" s="11">
        <f ca="1">MIN(Table_LuT_Deelnemers[[#This Row],[SUM  Maximale Subsidie - OO - overheid]],Table_LuT_Deelnemers[[#This Row],[SUM Maximale Subsidie - OO+MKB - HTSM]])</f>
        <v>0</v>
      </c>
    </row>
    <row r="8" spans="1:104" ht="15" customHeight="1" x14ac:dyDescent="0.25">
      <c r="A8" s="2" t="s">
        <v>64</v>
      </c>
      <c r="B8" s="2" t="s">
        <v>73</v>
      </c>
      <c r="C8" s="2" t="s">
        <v>92</v>
      </c>
      <c r="D8" s="3" t="str">
        <f>Table_LuT_Deelnemers[[#This Row],[ID Deelnemer]]</f>
        <v>Deelnemer 7</v>
      </c>
      <c r="E8" s="3" t="str" cm="1">
        <f t="array" ref="E8">IF(NOT(Table_LuT_Deelnemers[[#This Row],[DN niet leeg?]]),"",_xlfn.XLOOKUP(Table_LuT_Deelnemers[[#This Row],[ID Deelnemer]],INDEX(Range_Deelnemer_Nrs,,1),INDEX(Range_Deelnemer_Nrs,,2),"",0,1))</f>
        <v/>
      </c>
      <c r="F8" s="3" t="str" cm="1">
        <f t="array" ref="F8">IF(NOT(Table_LuT_Deelnemers[[#This Row],[Type Organisatie niet leeg?]]),"",_xlfn.XLOOKUP(Table_LuT_Deelnemers[[#This Row],[ID Deelnemer]],INDEX(Range_Deelnemer_Nrs,,1),INDEX(Range_Deelnemer_Nrs,,3),"",0,1))</f>
        <v/>
      </c>
      <c r="G8" s="3" t="str" cm="1">
        <f t="array" ref="G8">IF(NOT(Table_LuT_Deelnemers[[#This Row],[Type Organisatie niet leeg?]]),"",_xlfn.XLOOKUP(Table_LuT_Deelnemers[[#This Row],[Type Organisatie]],ValList_Type_Organisatie,Table_Val_List_Type_Org[TO]))</f>
        <v/>
      </c>
      <c r="H8" s="3" t="str" cm="1">
        <f t="array" ref="H8">IF(NOT(Table_LuT_Deelnemers[[#This Row],[KVK niet leeg?]]),"",_xlfn.XLOOKUP(Table_LuT_Deelnemers[[#This Row],[ID Deelnemer]],INDEX(Range_Deelnemer_Nrs,,1),INDEX(Range_Deelnemer_Nrs,,4),"",0,1))</f>
        <v/>
      </c>
      <c r="I8" s="3" t="str" cm="1">
        <f t="array" ref="I8">IF(NOT(Table_LuT_Deelnemers[[#This Row],[DN niet leeg?]]),"",IF(NOT(Table_LuT_Deelnemers[[#This Row],[Is Buitenlandse Organisatie]]),"",_xlfn.XLOOKUP(Table_LuT_Deelnemers[[#This Row],[ID Deelnemer]],INDEX(Range_Deelnemer_Nrs,,1),INDEX(Range_Deelnemer_Nrs,,5),"",0,1)))</f>
        <v/>
      </c>
      <c r="J8" s="3" t="str" cm="1">
        <f t="array" ref="J8">IF(NOT(Table_LuT_Deelnemers[[#This Row],[DN niet leeg?]]),"",_xlfn.XLOOKUP(Table_LuT_Deelnemers[[#This Row],[ID Deelnemer]],INDEX(Range_Deelnemer_Nrs,,1),INDEX(Range_Deelnemer_Nrs,,6),"",0,1)&lt;&gt;"nee")</f>
        <v/>
      </c>
      <c r="K8" s="3" t="str" cm="1">
        <f t="array" ref="K8">IF(NOT(Table_LuT_Deelnemers[[#This Row],[DN niet leeg?]]),"",_xlfn.LET(_xlpm.website,_xlfn.XLOOKUP(Table_LuT_Deelnemers[[#This Row],[ID Deelnemer]],INDEX(Range_Deelnemer_Nrs,,1),INDEX(Range_Deelnemer_Nrs,,7),"",0,1),IF(_xlpm.website=0,"",_xlpm.website)))</f>
        <v/>
      </c>
      <c r="L8" s="19" t="str" cm="1">
        <f t="array" aca="1" ref="L8" ca="1">IF(INDIRECT("'"&amp;Table_LuT_Deelnemers[[#This Row],[Naam Sheet]]&amp;"'!Kostensystematiek")="[Maak een keuze]","",INDIRECT("'"&amp;Table_LuT_Deelnemers[[#This Row],[Naam Sheet]]&amp;"'!Kostensystematiek"))</f>
        <v/>
      </c>
      <c r="M8" s="3" t="b">
        <f>Table_LuT_Deelnemers[[#This Row],[Type Organisatie]]="MKB"</f>
        <v>0</v>
      </c>
      <c r="N8" s="3" t="b">
        <f>Table_LuT_Deelnemers[[#This Row],[Type Organisatie]]="Onderzoeksorganisatie"</f>
        <v>0</v>
      </c>
      <c r="O8" s="3" t="b">
        <f>Table_LuT_Deelnemers[[#This Row],[Type Organisatie]]="Grootbedrijf"</f>
        <v>0</v>
      </c>
      <c r="P8" s="19" t="b">
        <f>Table_LuT_Deelnemers[[#This Row],[Verkorte Referentienaam Deelnemer]]="DN1"</f>
        <v>0</v>
      </c>
      <c r="Q8" s="3" t="b">
        <f t="shared" si="0"/>
        <v>0</v>
      </c>
      <c r="R8" s="3" t="b">
        <f t="shared" si="1"/>
        <v>0</v>
      </c>
      <c r="S8" s="3" t="b" cm="1">
        <f t="array" ref="S8">NOT(ISBLANK(_xlfn.XLOOKUP(Table_LuT_Deelnemers[[#This Row],[ID Deelnemer]],INDEX(Range_Deelnemer_Nrs,,1),INDEX(Range_Deelnemer_Nrs,,2),"",0,1)))</f>
        <v>0</v>
      </c>
      <c r="T8" s="3" t="b" cm="1">
        <f t="array" ref="T8">_xlfn.XLOOKUP(Table_LuT_Deelnemers[[#This Row],[ID Deelnemer]],INDEX(Range_Deelnemer_Nrs,,1),INDEX(Range_Deelnemer_Nrs,,3),"",0,1)&lt;&gt;"[Maak een keuze]"</f>
        <v>0</v>
      </c>
      <c r="U8" s="3" t="b" cm="1">
        <f t="array" ref="U8">NOT(ISBLANK(_xlfn.XLOOKUP(Table_LuT_Deelnemers[[#This Row],[ID Deelnemer]],INDEX(Range_Deelnemer_Nrs,,1),INDEX(Range_Deelnemer_Nrs,,4),"",0,1)))</f>
        <v>0</v>
      </c>
      <c r="V8" s="3" t="b" cm="1">
        <f t="array" ref="V8">NOT(ISBLANK(_xlfn.XLOOKUP(Table_LuT_Deelnemers[[#This Row],[ID Deelnemer]],INDEX(Range_Deelnemer_Nrs,,1),INDEX(Range_Deelnemer_Nrs,,5),"",0,1)))</f>
        <v>0</v>
      </c>
      <c r="W8" s="19" t="b" cm="1">
        <f t="array" aca="1" ref="W8" ca="1">INDIRECT("'"&amp;Table_LuT_Deelnemers[[#This Row],[Naam Sheet]]&amp;"'!Kostensystematiek")&lt;&gt;"[Maak een keuze]"</f>
        <v>0</v>
      </c>
      <c r="X8" s="248" t="b">
        <f>OR(NOT(Table_LuT_Deelnemers[[#This Row],[DN niet leeg?]]),Table_LuT_Deelnemers[[#This Row],[Is OO?]],NOT(Table_LuT_Deelnemers[[#This Row],[Is GB?]]))</f>
        <v>1</v>
      </c>
      <c r="Y8" s="3" t="b">
        <f>OR(Table_LuT_Deelnemers[[#This Row],[Verkorte Referentienaam Deelnemer]]&lt;&gt;"DN1",NOT(Table_LuT_Deelnemers[[#This Row],[Penvoerder niet leeg?]]),AND(Subsidie_instrument&lt;&gt;"[Maak een keuze]",NOT(ISBLANK(Projecttitel)),NOT(ISBLANK(Projectacroniem))))</f>
        <v>1</v>
      </c>
      <c r="Z8" s="3" t="b">
        <f t="shared" si="2"/>
        <v>1</v>
      </c>
      <c r="AA8" s="3" t="b">
        <f t="shared" si="3"/>
        <v>1</v>
      </c>
      <c r="AB8" s="3" t="b">
        <f>OR(Table_LuT_Deelnemers[[#This Row],[Verkorte Referentienaam Deelnemer]]&lt;&gt;"DN1",Table_LuT_Deelnemers[[#This Row],[Penvoerder niet leeg?]],NOT(Table_LuT_Deelnemers[[#This Row],[DN2 niet leeg?]]))</f>
        <v>1</v>
      </c>
      <c r="AC8" s="3" t="b">
        <f>OR(Table_LuT_Deelnemers[[#This Row],[Verkorte Referentienaam Deelnemer]]&lt;&gt;"DN2",NOT(_xlfn.XOR(Table_LuT_Deelnemers[[#This Row],[Penvoerder niet leeg?]],Table_LuT_Deelnemers[[#This Row],[DN2 niet leeg?]])))</f>
        <v>1</v>
      </c>
      <c r="AD8" s="3" t="b">
        <f>OR(Table_LuT_Deelnemers[[#This Row],[Verkorte Referentienaam Deelnemer]]="DN1",NOT(Table_LuT_Deelnemers[[#This Row],[DN niet leeg?]]),AND(S$2:S7))</f>
        <v>1</v>
      </c>
      <c r="AE8"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8" s="3" t="b">
        <f>OR(NOT(Table_LuT_Deelnemers[[#This Row],[DN niet leeg?]]),NOT(Table_LuT_Deelnemers[[#This Row],[DN2 niet leeg?]]),OR(Table_LuT_Deelnemers[Is OO?]))</f>
        <v>1</v>
      </c>
      <c r="AG8" s="3" t="b">
        <f>OR(Table_LuT_Deelnemers[[#This Row],[Verkorte Referentienaam Deelnemer]]="DN1",NOT(_xlfn.XOR(Table_LuT_Deelnemers[[#This Row],[DN niet leeg?]],Table_LuT_Deelnemers[[#This Row],[Type Organisatie niet leeg?]])))</f>
        <v>1</v>
      </c>
      <c r="AH8" s="3" t="b">
        <f>OR(Table_LuT_Deelnemers[[#This Row],[Verkorte Referentienaam Deelnemer]]&lt;&gt;"DN1",NOT(Table_LuT_Deelnemers[[#This Row],[Penvoerder niet leeg?]]),NOT(Table_LuT_Deelnemers[[#This Row],[Is Buitenlandse Organisatie]]))</f>
        <v>1</v>
      </c>
      <c r="AI8" s="3" t="b">
        <f>OR(NOT(Table_LuT_Deelnemers[[#This Row],[DN niet leeg?]]),Table_LuT_Deelnemers[[#This Row],[Is Buitenlandse Organisatie]],Table_LuT_Deelnemers[[#This Row],[KVK niet leeg?]])</f>
        <v>1</v>
      </c>
      <c r="AJ8" s="3" t="b">
        <f>OR(NOT(Table_LuT_Deelnemers[[#This Row],[DN niet leeg?]]),Table_LuT_Deelnemers[[#This Row],[Is Buitenlandse Organisatie]],AND(Table_LuT_Deelnemers[[#This Row],[KVK niet leeg?]],LEN(Table_LuT_Deelnemers[[#This Row],[KVK-nummer]])&lt;=8))</f>
        <v>1</v>
      </c>
      <c r="AK8" s="3" t="b">
        <f>OR(NOT(Table_LuT_Deelnemers[[#This Row],[DN niet leeg?]]),NOT(Table_LuT_Deelnemers[[#This Row],[Is Buitenlandse Organisatie]]),NOT(Table_LuT_Deelnemers[[#This Row],[KVK niet leeg?]]))</f>
        <v>1</v>
      </c>
      <c r="AL8" s="3" t="b">
        <f ca="1">OR(NOT(Table_LuT_Deelnemers[[#This Row],[DN niet leeg?]]),Table_LuT_Deelnemers[[#This Row],[Kostensystematiek niet leeg?]])</f>
        <v>1</v>
      </c>
      <c r="AM8" s="3" t="b" cm="1">
        <f t="array" aca="1" ref="AM8" ca="1">INDIRECT("'"&amp;Table_LuT_Deelnemers[[#This Row],[ID Deelnemer]]&amp;"'!Check_Vaste_uurtarief")</f>
        <v>1</v>
      </c>
      <c r="AN8" s="3" t="b" cm="1">
        <f t="array" ref="AN8">OR(NOT(Table_LuT_Deelnemers[[#This Row],[Is Penvoerder?]]),NOT(Table_LuT_Deelnemers[[#This Row],[DN niet leeg?]]),AND(OR(Var_Sub.instr.="MKB",Table_LuT_Deelnemers[[#This Row],[Is OO?]]),OR(Var_Sub.instr.&lt;&gt;"MKB",Table_LuT_Deelnemers[[#This Row],[Is MKB?]])))</f>
        <v>1</v>
      </c>
      <c r="AO8" s="3" t="b" cm="1">
        <f t="array" ref="AO8">OR(NOT(Table_LuT_Deelnemers[[#This Row],[DN niet leeg?]]),Var_Sub.instr.&lt;&gt;"MKB",Table_LuT_Deelnemers[[#This Row],[Is OO?]],Table_LuT_Deelnemers[[#This Row],[Is MKB?]])</f>
        <v>1</v>
      </c>
      <c r="AP8" s="3" t="b" cm="1">
        <f t="array" aca="1" ref="AP8" ca="1">IFERROR(Minimale_Cash_CoF&lt;=SUMIFS(Table_LuT_Deelnemers[Cash Bijdrage],Table_LuT_Deelnemers[Type Organisatie],"&lt;&gt;Onderzoeksorganisatie"),FALSE)</f>
        <v>1</v>
      </c>
      <c r="AQ8" s="3" t="b" cm="1">
        <f t="array" aca="1" ref="AQ8" ca="1">IFERROR(Minimale_Cash_CoF&lt;=SUMIFS(Table_LuT_Deelnemers[Cash Ontvangen],Table_LuT_Deelnemers[Type Organisatie],"Onderzoeksorganisatie"),FALSE)</f>
        <v>1</v>
      </c>
      <c r="AR8" s="3" t="b" cm="1">
        <f t="array" aca="1" ref="AR8" ca="1">AND(((Table_LuT_Deelnemers[Cash Bijdrage])=0) + ((Table_LuT_Deelnemers[Cash Ontvangen])=0))</f>
        <v>1</v>
      </c>
      <c r="AS8" s="3" t="b">
        <f ca="1">IFERROR(ABS(Table_LuT_Deelnemers[[#Totals],[Cash Bijdrage]]-Table_LuT_Deelnemers[[#Totals],[Cash Ontvangen]])&lt;1,FALSE)</f>
        <v>1</v>
      </c>
      <c r="AT8" s="3" t="b">
        <f ca="1">IFERROR(Table_LuT_Deelnemers[[#This Row],[Maximale Subsidie FO - HTSM^overheid]]&gt;=Table_LuT_Deelnemers[[#This Row],[Gevraagde Subsidie FO]],FALSE)</f>
        <v>1</v>
      </c>
      <c r="AU8" s="3" t="b">
        <f ca="1">IFERROR(Table_LuT_Deelnemers[[#This Row],[Maximale Subsidie IO - HTSM^overheid]]&gt;=Table_LuT_Deelnemers[[#This Row],[Gevraagde Subsidie IO]],FALSE)</f>
        <v>1</v>
      </c>
      <c r="AV8" s="3" t="b">
        <f ca="1">IFERROR(Table_LuT_Deelnemers[[#This Row],[Maximale Subsidie EO - HTSM^overheid]]&gt;=Table_LuT_Deelnemers[[#This Row],[Gevraagde Subsidie EO]],FALSE)</f>
        <v>1</v>
      </c>
      <c r="AW8" s="3" t="b" cm="1">
        <f t="array" aca="1" ref="AW8"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8" s="3" t="b">
        <f ca="1">IFERROR(Table_LuT_Deelnemers[[#Totals],[Maximale Subsidie Totaal - HTSM]]&gt;=Table_LuT_Deelnemers[[#Totals],[Gevraagde Subsidie Totaal]],FALSE)</f>
        <v>1</v>
      </c>
      <c r="AY8" s="3" t="b" cm="1">
        <f t="array" aca="1" ref="AY8" ca="1">OR(NOT(Table_LuT_Deelnemers[[#This Row],[DN niet leeg?]]),Var_Sub.instr.="MKB",Table_LuT_Deelnemers[[#This Row],[Type Organisatie]]="Onderzoeksorganisatie",Table_LuT_Deelnemers[[#This Row],[Gevraagde Subsidie Totaal]]=0)</f>
        <v>1</v>
      </c>
      <c r="AZ8" s="3" t="b" cm="1">
        <f t="array" aca="1" ref="AZ8"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8" s="3" t="b" cm="1">
        <f t="array" aca="1" ref="BA8" ca="1">IFERROR(AND(ABS((Table_LuT_Deelnemers[Kosten Totaal])-(Table_LuT_Deelnemers[Financiering Totaal]))&lt;1),FALSE)</f>
        <v>1</v>
      </c>
      <c r="BB8" s="3" t="b">
        <f ca="1">IFERROR(ABS(Table_LuT_Deelnemers[[#Totals],[Financiering Totaal]]-Table_LuT_Deelnemers[[#Totals],[Kosten Totaal]])&lt;1,FALSE)</f>
        <v>1</v>
      </c>
      <c r="BC8" s="3" t="b" cm="1">
        <f t="array" aca="1" ref="BC8" ca="1">OR(Var_Sub.instr.&lt;&gt;"MKB",AND(Table_LuT_Deelnemers[Kosten FO]=0,Table_LuT_Deelnemers[Kosten EO]=0))</f>
        <v>1</v>
      </c>
      <c r="BD8" s="3" t="b" cm="1">
        <f t="array" ref="BD8">IF(Var_Sub.instr.="MKB",AND(Table_LuT_Deelnemers[Verhouding SUM kosten OOs / SUM kosten MKBs is OK?]),TRUE)</f>
        <v>1</v>
      </c>
      <c r="BE8" s="3" t="b" cm="1">
        <f t="array" ref="BE8">IF(Var_Sub.instr.="MKB",AND(Table_LuT_Deelnemers[SUM Maximale Subsidie MKBs &lt;= € 300,000, als MKB-call],Table_LuT_Deelnemers[SUM Maximale Subsidie OOs &lt;= € 150,000, als MKB-call]),TRUE)</f>
        <v>1</v>
      </c>
      <c r="BF8" s="3" t="b" cm="1">
        <f t="array" aca="1" ref="BF8" ca="1">AND(( (Table_LuT_Deelnemers[Naam Organisatie]&lt;&gt;"") + ((Table_LuT_Deelnemers[Cash Bijdrage]=0) * (Table_LuT_Deelnemers[Financiering Totaal]=0)) ))</f>
        <v>1</v>
      </c>
      <c r="BG8" s="3" t="b" cm="1">
        <f t="array" aca="1" ref="BG8" ca="1">IFERROR(AND((Table_LuT_Deelnemers[[Cash Bijdrage]:[Gevraagde Subsidie EO]]="") + (ISNUMBER(Table_LuT_Deelnemers[[Cash Bijdrage]:[Gevraagde Subsidie EO]]) * (Table_LuT_Deelnemers[[Cash Bijdrage]:[Gevraagde Subsidie EO]]&gt;=0) * (MOD(Table_LuT_Deelnemers[[Cash Bijdrage]:[Gevraagde Subsidie EO]],1)=0))),FALSE)</f>
        <v>1</v>
      </c>
      <c r="BH8" s="246" t="b">
        <f t="shared" si="4"/>
        <v>0</v>
      </c>
      <c r="BI8" s="19" t="b">
        <f ca="1">AND(Table_LuT_Deelnemers[[#This Row],[Check 005]:[Check 990]])</f>
        <v>0</v>
      </c>
      <c r="BJ8" s="11">
        <f>SUMIFS(Table_LuT_Deelnemers[Kosten Totaal],Table_LuT_Deelnemers[Is MKB?],TRUE)</f>
        <v>0</v>
      </c>
      <c r="BK8" s="11">
        <f>SUMIFS(Table_LuT_Deelnemers[Kosten Totaal],Table_LuT_Deelnemers[Is OO?],TRUE)</f>
        <v>0</v>
      </c>
      <c r="BL8" s="243" t="b" cm="1">
        <f t="array" ref="BL8">IF(Var_Sub.instr.="MKB",IF(Table_LuT_Deelnemers[[#This Row],[SUM Kosten MKBs]]=0,FALSE,Table_LuT_Deelnemers[[#This Row],[SUM Kosten OOs]]/Table_LuT_Deelnemers[[#This Row],[SUM Kosten MKBs]]&lt;=0.5),TRUE)</f>
        <v>1</v>
      </c>
      <c r="BM8" s="8" cm="1">
        <f t="array" aca="1" ref="BM8" ca="1">INDIRECT("Kst_FO_"&amp;Table_LuT_Deelnemers[[#This Row],[Verkorte Referentienaam Deelnemer]])</f>
        <v>0</v>
      </c>
      <c r="BN8" s="8" cm="1">
        <f t="array" aca="1" ref="BN8" ca="1">INDIRECT("Kst_IO_"&amp;Table_LuT_Deelnemers[[#This Row],[Verkorte Referentienaam Deelnemer]])</f>
        <v>0</v>
      </c>
      <c r="BO8" s="8" cm="1">
        <f t="array" aca="1" ref="BO8" ca="1">INDIRECT("Kst_EO_"&amp;Table_LuT_Deelnemers[[#This Row],[Verkorte Referentienaam Deelnemer]])</f>
        <v>0</v>
      </c>
      <c r="BP8" s="8" cm="1">
        <f t="array" aca="1" ref="BP8" ca="1">INDIRECT("Kst_Tot_"&amp;Table_LuT_Deelnemers[[#This Row],[Verkorte Referentienaam Deelnemer]])</f>
        <v>0</v>
      </c>
      <c r="BQ8" s="330" cm="1">
        <f t="array" aca="1" ref="BQ8" ca="1">INDIRECT("'"&amp;A8&amp;"'!Kosten_Apparatuur")</f>
        <v>0</v>
      </c>
      <c r="BR8" s="8" cm="1">
        <f t="array" aca="1" ref="BR8" ca="1">INDIRECT("Max_Sub_FO_"&amp;Table_LuT_Deelnemers[[#This Row],[Verkorte Referentienaam Deelnemer]])</f>
        <v>0</v>
      </c>
      <c r="BS8" s="8" cm="1">
        <f t="array" aca="1" ref="BS8" ca="1">INDIRECT("Max_Sub_IO_"&amp;Table_LuT_Deelnemers[[#This Row],[Verkorte Referentienaam Deelnemer]])</f>
        <v>0</v>
      </c>
      <c r="BT8" s="8" cm="1">
        <f t="array" aca="1" ref="BT8" ca="1">INDIRECT("Max_Sub_EO_"&amp;Table_LuT_Deelnemers[[#This Row],[Verkorte Referentienaam Deelnemer]])</f>
        <v>0</v>
      </c>
      <c r="BU8" s="328" cm="1">
        <f t="array" aca="1" ref="BU8" ca="1">INDIRECT("Max_Sub_"&amp;Table_LuT_Deelnemers[[#This Row],[Verkorte Referentienaam Deelnemer]])</f>
        <v>0</v>
      </c>
      <c r="BV8" s="190" cm="1">
        <f t="array" aca="1" ref="BV8" ca="1">INDIRECT("Cash_"&amp;Table_LuT_Deelnemers[[#This Row],[Verkorte Referentienaam Deelnemer]])</f>
        <v>0</v>
      </c>
      <c r="BW8" s="8" cm="1">
        <f t="array" aca="1" ref="BW8" ca="1">INDIRECT("Cash_Ontvangen_"&amp;Table_LuT_Deelnemers[[#This Row],[Verkorte Referentienaam Deelnemer]])</f>
        <v>0</v>
      </c>
      <c r="BX8" s="8" cm="1">
        <f t="array" aca="1" ref="BX8" ca="1">INDIRECT("In_kind_"&amp;Table_LuT_Deelnemers[[#This Row],[Verkorte Referentienaam Deelnemer]])</f>
        <v>0</v>
      </c>
      <c r="BY8" s="8" cm="1">
        <f t="array" aca="1" ref="BY8" ca="1">INDIRECT("Overige_Subsidies_"&amp;Table_LuT_Deelnemers[[#This Row],[Verkorte Referentienaam Deelnemer]])</f>
        <v>0</v>
      </c>
      <c r="BZ8" s="190" cm="1">
        <f t="array" aca="1" ref="BZ8" ca="1">INDIRECT("Subsidie_FO_"&amp;Table_LuT_Deelnemers[[#This Row],[Verkorte Referentienaam Deelnemer]])</f>
        <v>0</v>
      </c>
      <c r="CA8" s="190" cm="1">
        <f t="array" aca="1" ref="CA8" ca="1">INDIRECT("Subsidie_IO_"&amp;Table_LuT_Deelnemers[[#This Row],[Verkorte Referentienaam Deelnemer]])</f>
        <v>0</v>
      </c>
      <c r="CB8" s="190" cm="1">
        <f t="array" aca="1" ref="CB8" ca="1">INDIRECT("Subsidie_EO_"&amp;Table_LuT_Deelnemers[[#This Row],[Verkorte Referentienaam Deelnemer]])</f>
        <v>0</v>
      </c>
      <c r="CC8" s="8" cm="1">
        <f t="array" aca="1" ref="CC8" ca="1">INDIRECT("Subsidie_"&amp;Table_LuT_Deelnemers[[#This Row],[Verkorte Referentienaam Deelnemer]])</f>
        <v>0</v>
      </c>
      <c r="CD8" s="254" cm="1">
        <f t="array" aca="1" ref="CD8" ca="1">INDIRECT("Fin_Tot_"&amp;Table_LuT_Deelnemers[[#This Row],[Verkorte Referentienaam Deelnemer]])</f>
        <v>0</v>
      </c>
      <c r="CE8" s="8">
        <f ca="1">_xlfn.LET(_xlpm.Var_Delta,Table_LuT_Deelnemers[[#This Row],[Gevraagde Subsidie FO]]-Table_LuT_Deelnemers[[#This Row],[Maximale Subsidie FO - HTSM^overheid]],IF(_xlpm.Var_Delta&gt;0,_xlpm.Var_Delta,0))</f>
        <v>0</v>
      </c>
      <c r="CF8" s="8">
        <f ca="1">_xlfn.LET(_xlpm.Var_Delta,Table_LuT_Deelnemers[[#This Row],[Gevraagde Subsidie IO]]-Table_LuT_Deelnemers[[#This Row],[Maximale Subsidie IO - HTSM^overheid]],IF(_xlpm.Var_Delta&gt;0,_xlpm.Var_Delta,0))</f>
        <v>0</v>
      </c>
      <c r="CG8" s="8">
        <f ca="1">_xlfn.LET(_xlpm.Var_Delta,Table_LuT_Deelnemers[[#This Row],[Gevraagde Subsidie EO]]-Table_LuT_Deelnemers[[#This Row],[Maximale Subsidie EO - HTSM^overheid]],IF(_xlpm.Var_Delta&gt;0,_xlpm.Var_Delta,0))</f>
        <v>0</v>
      </c>
      <c r="CH8" s="8">
        <f ca="1">_xlfn.LET(_xlpm.Var_Delta,Table_LuT_Deelnemers[[#This Row],[Gevraagde Subsidie Totaal]]-Table_LuT_Deelnemers[[#This Row],[Maximale Subsidie Totaal - HTSM^overheid]],IF(_xlpm.Var_Delta&gt;0,_xlpm.Var_Delta,0))</f>
        <v>0</v>
      </c>
      <c r="CI8" s="11">
        <f>SUMIFS(Table_LuT_Deelnemers[Gevraagde Subsidie Totaal],Table_LuT_Deelnemers[Is MKB?],TRUE)</f>
        <v>0</v>
      </c>
      <c r="CJ8" s="11">
        <f>SUMIFS(Table_LuT_Deelnemers[Gevraagde Subsidie Totaal],Table_LuT_Deelnemers[Is OO?],TRUE)</f>
        <v>0</v>
      </c>
      <c r="CK8" s="11" t="b" cm="1">
        <f t="array" ref="CK8">IF(Var_Sub.instr.="MKB",Table_LuT_Deelnemers[[#This Row],[SUM Gevraagde Subsidie MKBs]]&lt;=Var_MaxSub_MKB_call_MKB,TRUE)</f>
        <v>1</v>
      </c>
      <c r="CL8" s="243" t="b" cm="1">
        <f t="array" ref="CL8">IF(Var_Sub.instr.="MKB",Table_LuT_Deelnemers[[#This Row],[SUM Gevraagde Subsidie OOs]]&lt;=Var_MaxSub_MKB_call_OO,TRUE)</f>
        <v>1</v>
      </c>
      <c r="CM8" s="8">
        <f ca="1">SUMIFS(Table_LuT_Begroting_Deelnemers[Maximale Subsidie - overheid],Table_LuT_Begroting_Deelnemers[Verkorte Referentienaam Deelnemer],Table_LuT_Deelnemers[[#This Row],[Verkorte Referentienaam Deelnemer]],Table_LuT_Begroting_Deelnemers[FO | IO | EO],"FO")</f>
        <v>0</v>
      </c>
      <c r="CN8" s="8">
        <f ca="1">SUMIFS(Table_LuT_Begroting_Deelnemers[Maximale Subsidie - overheid],Table_LuT_Begroting_Deelnemers[Verkorte Referentienaam Deelnemer],Table_LuT_Deelnemers[[#This Row],[Verkorte Referentienaam Deelnemer]],Table_LuT_Begroting_Deelnemers[FO | IO | EO],"IO")</f>
        <v>0</v>
      </c>
      <c r="CO8" s="8">
        <f ca="1">SUMIFS(Table_LuT_Begroting_Deelnemers[Maximale Subsidie - overheid],Table_LuT_Begroting_Deelnemers[Verkorte Referentienaam Deelnemer],Table_LuT_Deelnemers[[#This Row],[Verkorte Referentienaam Deelnemer]],Table_LuT_Begroting_Deelnemers[FO | IO | EO],"EO")</f>
        <v>0</v>
      </c>
      <c r="CP8" s="328">
        <f ca="1">SUMIFS(Table_LuT_Begroting_Deelnemers[Maximale Subsidie - overheid],Table_LuT_Begroting_Deelnemers[Verkorte Referentienaam Deelnemer],Table_LuT_Deelnemers[[#This Row],[Verkorte Referentienaam Deelnemer]])</f>
        <v>0</v>
      </c>
      <c r="CQ8" s="8">
        <f ca="1">IF(Table_LuT_Deelnemers[[#This Row],[Is OO?]],Table_LuT_Deelnemers[[#This Row],[Maximale Subsidie FO - overheid]],Table_LuT_Deelnemers[[#This Row],[Maximale Subsidie FO - HTSM]])</f>
        <v>0</v>
      </c>
      <c r="CR8" s="8">
        <f ca="1">IF(Table_LuT_Deelnemers[[#This Row],[Is OO?]],Table_LuT_Deelnemers[[#This Row],[Maximale Subsidie IO - overheid]],Table_LuT_Deelnemers[[#This Row],[Maximale Subsidie IO - HTSM]])</f>
        <v>0</v>
      </c>
      <c r="CS8" s="8">
        <f ca="1">IF(Table_LuT_Deelnemers[[#This Row],[Is OO?]],Table_LuT_Deelnemers[[#This Row],[Maximale Subsidie EO - overheid]],Table_LuT_Deelnemers[[#This Row],[Maximale Subsidie EO - HTSM]])</f>
        <v>0</v>
      </c>
      <c r="CT8" s="328">
        <f ca="1">IF(Table_LuT_Deelnemers[[#This Row],[Is OO?]],Table_LuT_Deelnemers[[#This Row],[Maximale Subsidie Totaal - overheid]],Table_LuT_Deelnemers[[#This Row],[Maximale Subsidie Totaal - HTSM]])</f>
        <v>0</v>
      </c>
      <c r="CU8" s="11">
        <f>SUMIFS(Table_LuT_Deelnemers[Gevraagde Subsidie Totaal],Table_LuT_Deelnemers[Is OO?],TRUE)</f>
        <v>0</v>
      </c>
      <c r="CV8" s="11">
        <f ca="1">SUMIFS(Table_LuT_Begroting_Deelnemers[Maximale Subsidie OO - overheid],Table_LuT_Begroting_Deelnemers[Is OO?],TRUE)</f>
        <v>0</v>
      </c>
      <c r="CW8" s="11">
        <f ca="1">SUMIFS(Table_LuT_Begroting_Deelnemers[Maximale Subsidie OO - HTSM],Table_LuT_Begroting_Deelnemers[Is OO?],TRUE)</f>
        <v>0</v>
      </c>
      <c r="CX8" s="11">
        <f ca="1">SUMIFS(Table_LuT_Begroting_Deelnemers[Maximale Subsidie MKB - HTSM],Table_LuT_Begroting_Deelnemers[Is MKB?],TRUE)</f>
        <v>0</v>
      </c>
      <c r="CY8" s="11">
        <f ca="1">Table_LuT_Deelnemers[[#This Row],[SUM Maximale Subsidie - OO - HTSM]]+Table_LuT_Deelnemers[[#This Row],[SUM Maximale Subsidie - MKB - HTSM]]</f>
        <v>0</v>
      </c>
      <c r="CZ8" s="11">
        <f ca="1">MIN(Table_LuT_Deelnemers[[#This Row],[SUM  Maximale Subsidie - OO - overheid]],Table_LuT_Deelnemers[[#This Row],[SUM Maximale Subsidie - OO+MKB - HTSM]])</f>
        <v>0</v>
      </c>
    </row>
    <row r="9" spans="1:104" ht="15" customHeight="1" x14ac:dyDescent="0.25">
      <c r="A9" s="2" t="s">
        <v>65</v>
      </c>
      <c r="B9" s="2" t="s">
        <v>74</v>
      </c>
      <c r="C9" s="2" t="s">
        <v>93</v>
      </c>
      <c r="D9" s="3" t="str">
        <f>Table_LuT_Deelnemers[[#This Row],[ID Deelnemer]]</f>
        <v>Deelnemer 8</v>
      </c>
      <c r="E9" s="3" t="str" cm="1">
        <f t="array" ref="E9">IF(NOT(Table_LuT_Deelnemers[[#This Row],[DN niet leeg?]]),"",_xlfn.XLOOKUP(Table_LuT_Deelnemers[[#This Row],[ID Deelnemer]],INDEX(Range_Deelnemer_Nrs,,1),INDEX(Range_Deelnemer_Nrs,,2),"",0,1))</f>
        <v/>
      </c>
      <c r="F9" s="3" t="str" cm="1">
        <f t="array" ref="F9">IF(NOT(Table_LuT_Deelnemers[[#This Row],[Type Organisatie niet leeg?]]),"",_xlfn.XLOOKUP(Table_LuT_Deelnemers[[#This Row],[ID Deelnemer]],INDEX(Range_Deelnemer_Nrs,,1),INDEX(Range_Deelnemer_Nrs,,3),"",0,1))</f>
        <v/>
      </c>
      <c r="G9" s="3" t="str" cm="1">
        <f t="array" ref="G9">IF(NOT(Table_LuT_Deelnemers[[#This Row],[Type Organisatie niet leeg?]]),"",_xlfn.XLOOKUP(Table_LuT_Deelnemers[[#This Row],[Type Organisatie]],ValList_Type_Organisatie,Table_Val_List_Type_Org[TO]))</f>
        <v/>
      </c>
      <c r="H9" s="3" t="str" cm="1">
        <f t="array" ref="H9">IF(NOT(Table_LuT_Deelnemers[[#This Row],[KVK niet leeg?]]),"",_xlfn.XLOOKUP(Table_LuT_Deelnemers[[#This Row],[ID Deelnemer]],INDEX(Range_Deelnemer_Nrs,,1),INDEX(Range_Deelnemer_Nrs,,4),"",0,1))</f>
        <v/>
      </c>
      <c r="I9" s="3" t="str" cm="1">
        <f t="array" ref="I9">IF(NOT(Table_LuT_Deelnemers[[#This Row],[DN niet leeg?]]),"",IF(NOT(Table_LuT_Deelnemers[[#This Row],[Is Buitenlandse Organisatie]]),"",_xlfn.XLOOKUP(Table_LuT_Deelnemers[[#This Row],[ID Deelnemer]],INDEX(Range_Deelnemer_Nrs,,1),INDEX(Range_Deelnemer_Nrs,,5),"",0,1)))</f>
        <v/>
      </c>
      <c r="J9" s="3" t="str" cm="1">
        <f t="array" ref="J9">IF(NOT(Table_LuT_Deelnemers[[#This Row],[DN niet leeg?]]),"",_xlfn.XLOOKUP(Table_LuT_Deelnemers[[#This Row],[ID Deelnemer]],INDEX(Range_Deelnemer_Nrs,,1),INDEX(Range_Deelnemer_Nrs,,6),"",0,1)&lt;&gt;"nee")</f>
        <v/>
      </c>
      <c r="K9" s="3" t="str" cm="1">
        <f t="array" ref="K9">IF(NOT(Table_LuT_Deelnemers[[#This Row],[DN niet leeg?]]),"",_xlfn.LET(_xlpm.website,_xlfn.XLOOKUP(Table_LuT_Deelnemers[[#This Row],[ID Deelnemer]],INDEX(Range_Deelnemer_Nrs,,1),INDEX(Range_Deelnemer_Nrs,,7),"",0,1),IF(_xlpm.website=0,"",_xlpm.website)))</f>
        <v/>
      </c>
      <c r="L9" s="19" t="str" cm="1">
        <f t="array" aca="1" ref="L9" ca="1">IF(INDIRECT("'"&amp;Table_LuT_Deelnemers[[#This Row],[Naam Sheet]]&amp;"'!Kostensystematiek")="[Maak een keuze]","",INDIRECT("'"&amp;Table_LuT_Deelnemers[[#This Row],[Naam Sheet]]&amp;"'!Kostensystematiek"))</f>
        <v/>
      </c>
      <c r="M9" s="3" t="b">
        <f>Table_LuT_Deelnemers[[#This Row],[Type Organisatie]]="MKB"</f>
        <v>0</v>
      </c>
      <c r="N9" s="3" t="b">
        <f>Table_LuT_Deelnemers[[#This Row],[Type Organisatie]]="Onderzoeksorganisatie"</f>
        <v>0</v>
      </c>
      <c r="O9" s="3" t="b">
        <f>Table_LuT_Deelnemers[[#This Row],[Type Organisatie]]="Grootbedrijf"</f>
        <v>0</v>
      </c>
      <c r="P9" s="19" t="b">
        <f>Table_LuT_Deelnemers[[#This Row],[Verkorte Referentienaam Deelnemer]]="DN1"</f>
        <v>0</v>
      </c>
      <c r="Q9" s="3" t="b">
        <f t="shared" si="0"/>
        <v>0</v>
      </c>
      <c r="R9" s="3" t="b">
        <f t="shared" si="1"/>
        <v>0</v>
      </c>
      <c r="S9" s="3" t="b" cm="1">
        <f t="array" ref="S9">NOT(ISBLANK(_xlfn.XLOOKUP(Table_LuT_Deelnemers[[#This Row],[ID Deelnemer]],INDEX(Range_Deelnemer_Nrs,,1),INDEX(Range_Deelnemer_Nrs,,2),"",0,1)))</f>
        <v>0</v>
      </c>
      <c r="T9" s="3" t="b" cm="1">
        <f t="array" ref="T9">_xlfn.XLOOKUP(Table_LuT_Deelnemers[[#This Row],[ID Deelnemer]],INDEX(Range_Deelnemer_Nrs,,1),INDEX(Range_Deelnemer_Nrs,,3),"",0,1)&lt;&gt;"[Maak een keuze]"</f>
        <v>0</v>
      </c>
      <c r="U9" s="3" t="b" cm="1">
        <f t="array" ref="U9">NOT(ISBLANK(_xlfn.XLOOKUP(Table_LuT_Deelnemers[[#This Row],[ID Deelnemer]],INDEX(Range_Deelnemer_Nrs,,1),INDEX(Range_Deelnemer_Nrs,,4),"",0,1)))</f>
        <v>0</v>
      </c>
      <c r="V9" s="3" t="b" cm="1">
        <f t="array" ref="V9">NOT(ISBLANK(_xlfn.XLOOKUP(Table_LuT_Deelnemers[[#This Row],[ID Deelnemer]],INDEX(Range_Deelnemer_Nrs,,1),INDEX(Range_Deelnemer_Nrs,,5),"",0,1)))</f>
        <v>0</v>
      </c>
      <c r="W9" s="19" t="b" cm="1">
        <f t="array" aca="1" ref="W9" ca="1">INDIRECT("'"&amp;Table_LuT_Deelnemers[[#This Row],[Naam Sheet]]&amp;"'!Kostensystematiek")&lt;&gt;"[Maak een keuze]"</f>
        <v>0</v>
      </c>
      <c r="X9" s="248" t="b">
        <f>OR(NOT(Table_LuT_Deelnemers[[#This Row],[DN niet leeg?]]),Table_LuT_Deelnemers[[#This Row],[Is OO?]],NOT(Table_LuT_Deelnemers[[#This Row],[Is GB?]]))</f>
        <v>1</v>
      </c>
      <c r="Y9" s="3" t="b">
        <f>OR(Table_LuT_Deelnemers[[#This Row],[Verkorte Referentienaam Deelnemer]]&lt;&gt;"DN1",NOT(Table_LuT_Deelnemers[[#This Row],[Penvoerder niet leeg?]]),AND(Subsidie_instrument&lt;&gt;"[Maak een keuze]",NOT(ISBLANK(Projecttitel)),NOT(ISBLANK(Projectacroniem))))</f>
        <v>1</v>
      </c>
      <c r="Z9" s="3" t="b">
        <f t="shared" si="2"/>
        <v>1</v>
      </c>
      <c r="AA9" s="3" t="b">
        <f t="shared" si="3"/>
        <v>1</v>
      </c>
      <c r="AB9" s="3" t="b">
        <f>OR(Table_LuT_Deelnemers[[#This Row],[Verkorte Referentienaam Deelnemer]]&lt;&gt;"DN1",Table_LuT_Deelnemers[[#This Row],[Penvoerder niet leeg?]],NOT(Table_LuT_Deelnemers[[#This Row],[DN2 niet leeg?]]))</f>
        <v>1</v>
      </c>
      <c r="AC9" s="3" t="b">
        <f>OR(Table_LuT_Deelnemers[[#This Row],[Verkorte Referentienaam Deelnemer]]&lt;&gt;"DN2",NOT(_xlfn.XOR(Table_LuT_Deelnemers[[#This Row],[Penvoerder niet leeg?]],Table_LuT_Deelnemers[[#This Row],[DN2 niet leeg?]])))</f>
        <v>1</v>
      </c>
      <c r="AD9" s="3" t="b">
        <f>OR(Table_LuT_Deelnemers[[#This Row],[Verkorte Referentienaam Deelnemer]]="DN1",NOT(Table_LuT_Deelnemers[[#This Row],[DN niet leeg?]]),AND(S$2:S8))</f>
        <v>1</v>
      </c>
      <c r="AE9"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9" s="3" t="b">
        <f>OR(NOT(Table_LuT_Deelnemers[[#This Row],[DN niet leeg?]]),NOT(Table_LuT_Deelnemers[[#This Row],[DN2 niet leeg?]]),OR(Table_LuT_Deelnemers[Is OO?]))</f>
        <v>1</v>
      </c>
      <c r="AG9" s="3" t="b">
        <f>OR(Table_LuT_Deelnemers[[#This Row],[Verkorte Referentienaam Deelnemer]]="DN1",NOT(_xlfn.XOR(Table_LuT_Deelnemers[[#This Row],[DN niet leeg?]],Table_LuT_Deelnemers[[#This Row],[Type Organisatie niet leeg?]])))</f>
        <v>1</v>
      </c>
      <c r="AH9" s="3" t="b">
        <f>OR(Table_LuT_Deelnemers[[#This Row],[Verkorte Referentienaam Deelnemer]]&lt;&gt;"DN1",NOT(Table_LuT_Deelnemers[[#This Row],[Penvoerder niet leeg?]]),NOT(Table_LuT_Deelnemers[[#This Row],[Is Buitenlandse Organisatie]]))</f>
        <v>1</v>
      </c>
      <c r="AI9" s="3" t="b">
        <f>OR(NOT(Table_LuT_Deelnemers[[#This Row],[DN niet leeg?]]),Table_LuT_Deelnemers[[#This Row],[Is Buitenlandse Organisatie]],Table_LuT_Deelnemers[[#This Row],[KVK niet leeg?]])</f>
        <v>1</v>
      </c>
      <c r="AJ9" s="3" t="b">
        <f>OR(NOT(Table_LuT_Deelnemers[[#This Row],[DN niet leeg?]]),Table_LuT_Deelnemers[[#This Row],[Is Buitenlandse Organisatie]],AND(Table_LuT_Deelnemers[[#This Row],[KVK niet leeg?]],LEN(Table_LuT_Deelnemers[[#This Row],[KVK-nummer]])&lt;=8))</f>
        <v>1</v>
      </c>
      <c r="AK9" s="3" t="b">
        <f>OR(NOT(Table_LuT_Deelnemers[[#This Row],[DN niet leeg?]]),NOT(Table_LuT_Deelnemers[[#This Row],[Is Buitenlandse Organisatie]]),NOT(Table_LuT_Deelnemers[[#This Row],[KVK niet leeg?]]))</f>
        <v>1</v>
      </c>
      <c r="AL9" s="3" t="b">
        <f ca="1">OR(NOT(Table_LuT_Deelnemers[[#This Row],[DN niet leeg?]]),Table_LuT_Deelnemers[[#This Row],[Kostensystematiek niet leeg?]])</f>
        <v>1</v>
      </c>
      <c r="AM9" s="3" t="b" cm="1">
        <f t="array" aca="1" ref="AM9" ca="1">INDIRECT("'"&amp;Table_LuT_Deelnemers[[#This Row],[ID Deelnemer]]&amp;"'!Check_Vaste_uurtarief")</f>
        <v>1</v>
      </c>
      <c r="AN9" s="3" t="b" cm="1">
        <f t="array" ref="AN9">OR(NOT(Table_LuT_Deelnemers[[#This Row],[Is Penvoerder?]]),NOT(Table_LuT_Deelnemers[[#This Row],[DN niet leeg?]]),AND(OR(Var_Sub.instr.="MKB",Table_LuT_Deelnemers[[#This Row],[Is OO?]]),OR(Var_Sub.instr.&lt;&gt;"MKB",Table_LuT_Deelnemers[[#This Row],[Is MKB?]])))</f>
        <v>1</v>
      </c>
      <c r="AO9" s="3" t="b" cm="1">
        <f t="array" ref="AO9">OR(NOT(Table_LuT_Deelnemers[[#This Row],[DN niet leeg?]]),Var_Sub.instr.&lt;&gt;"MKB",Table_LuT_Deelnemers[[#This Row],[Is OO?]],Table_LuT_Deelnemers[[#This Row],[Is MKB?]])</f>
        <v>1</v>
      </c>
      <c r="AP9" s="3" t="b" cm="1">
        <f t="array" aca="1" ref="AP9" ca="1">IFERROR(Minimale_Cash_CoF&lt;=SUMIFS(Table_LuT_Deelnemers[Cash Bijdrage],Table_LuT_Deelnemers[Type Organisatie],"&lt;&gt;Onderzoeksorganisatie"),FALSE)</f>
        <v>1</v>
      </c>
      <c r="AQ9" s="3" t="b" cm="1">
        <f t="array" aca="1" ref="AQ9" ca="1">IFERROR(Minimale_Cash_CoF&lt;=SUMIFS(Table_LuT_Deelnemers[Cash Ontvangen],Table_LuT_Deelnemers[Type Organisatie],"Onderzoeksorganisatie"),FALSE)</f>
        <v>1</v>
      </c>
      <c r="AR9" s="3" t="b" cm="1">
        <f t="array" aca="1" ref="AR9" ca="1">AND(((Table_LuT_Deelnemers[Cash Bijdrage])=0) + ((Table_LuT_Deelnemers[Cash Ontvangen])=0))</f>
        <v>1</v>
      </c>
      <c r="AS9" s="3" t="b">
        <f ca="1">IFERROR(ABS(Table_LuT_Deelnemers[[#Totals],[Cash Bijdrage]]-Table_LuT_Deelnemers[[#Totals],[Cash Ontvangen]])&lt;1,FALSE)</f>
        <v>1</v>
      </c>
      <c r="AT9" s="3" t="b">
        <f ca="1">IFERROR(Table_LuT_Deelnemers[[#This Row],[Maximale Subsidie FO - HTSM^overheid]]&gt;=Table_LuT_Deelnemers[[#This Row],[Gevraagde Subsidie FO]],FALSE)</f>
        <v>1</v>
      </c>
      <c r="AU9" s="3" t="b">
        <f ca="1">IFERROR(Table_LuT_Deelnemers[[#This Row],[Maximale Subsidie IO - HTSM^overheid]]&gt;=Table_LuT_Deelnemers[[#This Row],[Gevraagde Subsidie IO]],FALSE)</f>
        <v>1</v>
      </c>
      <c r="AV9" s="3" t="b">
        <f ca="1">IFERROR(Table_LuT_Deelnemers[[#This Row],[Maximale Subsidie EO - HTSM^overheid]]&gt;=Table_LuT_Deelnemers[[#This Row],[Gevraagde Subsidie EO]],FALSE)</f>
        <v>1</v>
      </c>
      <c r="AW9" s="3" t="b" cm="1">
        <f t="array" aca="1" ref="AW9"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9" s="3" t="b">
        <f ca="1">IFERROR(Table_LuT_Deelnemers[[#Totals],[Maximale Subsidie Totaal - HTSM]]&gt;=Table_LuT_Deelnemers[[#Totals],[Gevraagde Subsidie Totaal]],FALSE)</f>
        <v>1</v>
      </c>
      <c r="AY9" s="3" t="b" cm="1">
        <f t="array" aca="1" ref="AY9" ca="1">OR(NOT(Table_LuT_Deelnemers[[#This Row],[DN niet leeg?]]),Var_Sub.instr.="MKB",Table_LuT_Deelnemers[[#This Row],[Type Organisatie]]="Onderzoeksorganisatie",Table_LuT_Deelnemers[[#This Row],[Gevraagde Subsidie Totaal]]=0)</f>
        <v>1</v>
      </c>
      <c r="AZ9" s="3" t="b" cm="1">
        <f t="array" aca="1" ref="AZ9"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9" s="3" t="b" cm="1">
        <f t="array" aca="1" ref="BA9" ca="1">IFERROR(AND(ABS((Table_LuT_Deelnemers[Kosten Totaal])-(Table_LuT_Deelnemers[Financiering Totaal]))&lt;1),FALSE)</f>
        <v>1</v>
      </c>
      <c r="BB9" s="3" t="b">
        <f ca="1">IFERROR(ABS(Table_LuT_Deelnemers[[#Totals],[Financiering Totaal]]-Table_LuT_Deelnemers[[#Totals],[Kosten Totaal]])&lt;1,FALSE)</f>
        <v>1</v>
      </c>
      <c r="BC9" s="3" t="b" cm="1">
        <f t="array" aca="1" ref="BC9" ca="1">OR(Var_Sub.instr.&lt;&gt;"MKB",AND(Table_LuT_Deelnemers[Kosten FO]=0,Table_LuT_Deelnemers[Kosten EO]=0))</f>
        <v>1</v>
      </c>
      <c r="BD9" s="3" t="b" cm="1">
        <f t="array" ref="BD9">IF(Var_Sub.instr.="MKB",AND(Table_LuT_Deelnemers[Verhouding SUM kosten OOs / SUM kosten MKBs is OK?]),TRUE)</f>
        <v>1</v>
      </c>
      <c r="BE9" s="3" t="b" cm="1">
        <f t="array" ref="BE9">IF(Var_Sub.instr.="MKB",AND(Table_LuT_Deelnemers[SUM Maximale Subsidie MKBs &lt;= € 300,000, als MKB-call],Table_LuT_Deelnemers[SUM Maximale Subsidie OOs &lt;= € 150,000, als MKB-call]),TRUE)</f>
        <v>1</v>
      </c>
      <c r="BF9" s="3" t="b" cm="1">
        <f t="array" aca="1" ref="BF9" ca="1">AND(( (Table_LuT_Deelnemers[Naam Organisatie]&lt;&gt;"") + ((Table_LuT_Deelnemers[Cash Bijdrage]=0) * (Table_LuT_Deelnemers[Financiering Totaal]=0)) ))</f>
        <v>1</v>
      </c>
      <c r="BG9" s="3" t="b" cm="1">
        <f t="array" aca="1" ref="BG9" ca="1">IFERROR(AND((Table_LuT_Deelnemers[[Cash Bijdrage]:[Gevraagde Subsidie EO]]="") + (ISNUMBER(Table_LuT_Deelnemers[[Cash Bijdrage]:[Gevraagde Subsidie EO]]) * (Table_LuT_Deelnemers[[Cash Bijdrage]:[Gevraagde Subsidie EO]]&gt;=0) * (MOD(Table_LuT_Deelnemers[[Cash Bijdrage]:[Gevraagde Subsidie EO]],1)=0))),FALSE)</f>
        <v>1</v>
      </c>
      <c r="BH9" s="246" t="b">
        <f t="shared" si="4"/>
        <v>0</v>
      </c>
      <c r="BI9" s="19" t="b">
        <f ca="1">AND(Table_LuT_Deelnemers[[#This Row],[Check 005]:[Check 990]])</f>
        <v>0</v>
      </c>
      <c r="BJ9" s="11">
        <f>SUMIFS(Table_LuT_Deelnemers[Kosten Totaal],Table_LuT_Deelnemers[Is MKB?],TRUE)</f>
        <v>0</v>
      </c>
      <c r="BK9" s="11">
        <f>SUMIFS(Table_LuT_Deelnemers[Kosten Totaal],Table_LuT_Deelnemers[Is OO?],TRUE)</f>
        <v>0</v>
      </c>
      <c r="BL9" s="243" t="b" cm="1">
        <f t="array" ref="BL9">IF(Var_Sub.instr.="MKB",IF(Table_LuT_Deelnemers[[#This Row],[SUM Kosten MKBs]]=0,FALSE,Table_LuT_Deelnemers[[#This Row],[SUM Kosten OOs]]/Table_LuT_Deelnemers[[#This Row],[SUM Kosten MKBs]]&lt;=0.5),TRUE)</f>
        <v>1</v>
      </c>
      <c r="BM9" s="8" cm="1">
        <f t="array" aca="1" ref="BM9" ca="1">INDIRECT("Kst_FO_"&amp;Table_LuT_Deelnemers[[#This Row],[Verkorte Referentienaam Deelnemer]])</f>
        <v>0</v>
      </c>
      <c r="BN9" s="8" cm="1">
        <f t="array" aca="1" ref="BN9" ca="1">INDIRECT("Kst_IO_"&amp;Table_LuT_Deelnemers[[#This Row],[Verkorte Referentienaam Deelnemer]])</f>
        <v>0</v>
      </c>
      <c r="BO9" s="8" cm="1">
        <f t="array" aca="1" ref="BO9" ca="1">INDIRECT("Kst_EO_"&amp;Table_LuT_Deelnemers[[#This Row],[Verkorte Referentienaam Deelnemer]])</f>
        <v>0</v>
      </c>
      <c r="BP9" s="8" cm="1">
        <f t="array" aca="1" ref="BP9" ca="1">INDIRECT("Kst_Tot_"&amp;Table_LuT_Deelnemers[[#This Row],[Verkorte Referentienaam Deelnemer]])</f>
        <v>0</v>
      </c>
      <c r="BQ9" s="330" cm="1">
        <f t="array" aca="1" ref="BQ9" ca="1">INDIRECT("'"&amp;A9&amp;"'!Kosten_Apparatuur")</f>
        <v>0</v>
      </c>
      <c r="BR9" s="8" cm="1">
        <f t="array" aca="1" ref="BR9" ca="1">INDIRECT("Max_Sub_FO_"&amp;Table_LuT_Deelnemers[[#This Row],[Verkorte Referentienaam Deelnemer]])</f>
        <v>0</v>
      </c>
      <c r="BS9" s="8" cm="1">
        <f t="array" aca="1" ref="BS9" ca="1">INDIRECT("Max_Sub_IO_"&amp;Table_LuT_Deelnemers[[#This Row],[Verkorte Referentienaam Deelnemer]])</f>
        <v>0</v>
      </c>
      <c r="BT9" s="8" cm="1">
        <f t="array" aca="1" ref="BT9" ca="1">INDIRECT("Max_Sub_EO_"&amp;Table_LuT_Deelnemers[[#This Row],[Verkorte Referentienaam Deelnemer]])</f>
        <v>0</v>
      </c>
      <c r="BU9" s="328" cm="1">
        <f t="array" aca="1" ref="BU9" ca="1">INDIRECT("Max_Sub_"&amp;Table_LuT_Deelnemers[[#This Row],[Verkorte Referentienaam Deelnemer]])</f>
        <v>0</v>
      </c>
      <c r="BV9" s="190" cm="1">
        <f t="array" aca="1" ref="BV9" ca="1">INDIRECT("Cash_"&amp;Table_LuT_Deelnemers[[#This Row],[Verkorte Referentienaam Deelnemer]])</f>
        <v>0</v>
      </c>
      <c r="BW9" s="8" cm="1">
        <f t="array" aca="1" ref="BW9" ca="1">INDIRECT("Cash_Ontvangen_"&amp;Table_LuT_Deelnemers[[#This Row],[Verkorte Referentienaam Deelnemer]])</f>
        <v>0</v>
      </c>
      <c r="BX9" s="8" cm="1">
        <f t="array" aca="1" ref="BX9" ca="1">INDIRECT("In_kind_"&amp;Table_LuT_Deelnemers[[#This Row],[Verkorte Referentienaam Deelnemer]])</f>
        <v>0</v>
      </c>
      <c r="BY9" s="8" cm="1">
        <f t="array" aca="1" ref="BY9" ca="1">INDIRECT("Overige_Subsidies_"&amp;Table_LuT_Deelnemers[[#This Row],[Verkorte Referentienaam Deelnemer]])</f>
        <v>0</v>
      </c>
      <c r="BZ9" s="190" cm="1">
        <f t="array" aca="1" ref="BZ9" ca="1">INDIRECT("Subsidie_FO_"&amp;Table_LuT_Deelnemers[[#This Row],[Verkorte Referentienaam Deelnemer]])</f>
        <v>0</v>
      </c>
      <c r="CA9" s="190" cm="1">
        <f t="array" aca="1" ref="CA9" ca="1">INDIRECT("Subsidie_IO_"&amp;Table_LuT_Deelnemers[[#This Row],[Verkorte Referentienaam Deelnemer]])</f>
        <v>0</v>
      </c>
      <c r="CB9" s="190" cm="1">
        <f t="array" aca="1" ref="CB9" ca="1">INDIRECT("Subsidie_EO_"&amp;Table_LuT_Deelnemers[[#This Row],[Verkorte Referentienaam Deelnemer]])</f>
        <v>0</v>
      </c>
      <c r="CC9" s="8" cm="1">
        <f t="array" aca="1" ref="CC9" ca="1">INDIRECT("Subsidie_"&amp;Table_LuT_Deelnemers[[#This Row],[Verkorte Referentienaam Deelnemer]])</f>
        <v>0</v>
      </c>
      <c r="CD9" s="254" cm="1">
        <f t="array" aca="1" ref="CD9" ca="1">INDIRECT("Fin_Tot_"&amp;Table_LuT_Deelnemers[[#This Row],[Verkorte Referentienaam Deelnemer]])</f>
        <v>0</v>
      </c>
      <c r="CE9" s="8">
        <f ca="1">_xlfn.LET(_xlpm.Var_Delta,Table_LuT_Deelnemers[[#This Row],[Gevraagde Subsidie FO]]-Table_LuT_Deelnemers[[#This Row],[Maximale Subsidie FO - HTSM^overheid]],IF(_xlpm.Var_Delta&gt;0,_xlpm.Var_Delta,0))</f>
        <v>0</v>
      </c>
      <c r="CF9" s="8">
        <f ca="1">_xlfn.LET(_xlpm.Var_Delta,Table_LuT_Deelnemers[[#This Row],[Gevraagde Subsidie IO]]-Table_LuT_Deelnemers[[#This Row],[Maximale Subsidie IO - HTSM^overheid]],IF(_xlpm.Var_Delta&gt;0,_xlpm.Var_Delta,0))</f>
        <v>0</v>
      </c>
      <c r="CG9" s="8">
        <f ca="1">_xlfn.LET(_xlpm.Var_Delta,Table_LuT_Deelnemers[[#This Row],[Gevraagde Subsidie EO]]-Table_LuT_Deelnemers[[#This Row],[Maximale Subsidie EO - HTSM^overheid]],IF(_xlpm.Var_Delta&gt;0,_xlpm.Var_Delta,0))</f>
        <v>0</v>
      </c>
      <c r="CH9" s="8">
        <f ca="1">_xlfn.LET(_xlpm.Var_Delta,Table_LuT_Deelnemers[[#This Row],[Gevraagde Subsidie Totaal]]-Table_LuT_Deelnemers[[#This Row],[Maximale Subsidie Totaal - HTSM^overheid]],IF(_xlpm.Var_Delta&gt;0,_xlpm.Var_Delta,0))</f>
        <v>0</v>
      </c>
      <c r="CI9" s="11">
        <f>SUMIFS(Table_LuT_Deelnemers[Gevraagde Subsidie Totaal],Table_LuT_Deelnemers[Is MKB?],TRUE)</f>
        <v>0</v>
      </c>
      <c r="CJ9" s="11">
        <f>SUMIFS(Table_LuT_Deelnemers[Gevraagde Subsidie Totaal],Table_LuT_Deelnemers[Is OO?],TRUE)</f>
        <v>0</v>
      </c>
      <c r="CK9" s="11" t="b" cm="1">
        <f t="array" ref="CK9">IF(Var_Sub.instr.="MKB",Table_LuT_Deelnemers[[#This Row],[SUM Gevraagde Subsidie MKBs]]&lt;=Var_MaxSub_MKB_call_MKB,TRUE)</f>
        <v>1</v>
      </c>
      <c r="CL9" s="243" t="b" cm="1">
        <f t="array" ref="CL9">IF(Var_Sub.instr.="MKB",Table_LuT_Deelnemers[[#This Row],[SUM Gevraagde Subsidie OOs]]&lt;=Var_MaxSub_MKB_call_OO,TRUE)</f>
        <v>1</v>
      </c>
      <c r="CM9" s="8">
        <f ca="1">SUMIFS(Table_LuT_Begroting_Deelnemers[Maximale Subsidie - overheid],Table_LuT_Begroting_Deelnemers[Verkorte Referentienaam Deelnemer],Table_LuT_Deelnemers[[#This Row],[Verkorte Referentienaam Deelnemer]],Table_LuT_Begroting_Deelnemers[FO | IO | EO],"FO")</f>
        <v>0</v>
      </c>
      <c r="CN9" s="8">
        <f ca="1">SUMIFS(Table_LuT_Begroting_Deelnemers[Maximale Subsidie - overheid],Table_LuT_Begroting_Deelnemers[Verkorte Referentienaam Deelnemer],Table_LuT_Deelnemers[[#This Row],[Verkorte Referentienaam Deelnemer]],Table_LuT_Begroting_Deelnemers[FO | IO | EO],"IO")</f>
        <v>0</v>
      </c>
      <c r="CO9" s="8">
        <f ca="1">SUMIFS(Table_LuT_Begroting_Deelnemers[Maximale Subsidie - overheid],Table_LuT_Begroting_Deelnemers[Verkorte Referentienaam Deelnemer],Table_LuT_Deelnemers[[#This Row],[Verkorte Referentienaam Deelnemer]],Table_LuT_Begroting_Deelnemers[FO | IO | EO],"EO")</f>
        <v>0</v>
      </c>
      <c r="CP9" s="328">
        <f ca="1">SUMIFS(Table_LuT_Begroting_Deelnemers[Maximale Subsidie - overheid],Table_LuT_Begroting_Deelnemers[Verkorte Referentienaam Deelnemer],Table_LuT_Deelnemers[[#This Row],[Verkorte Referentienaam Deelnemer]])</f>
        <v>0</v>
      </c>
      <c r="CQ9" s="8">
        <f ca="1">IF(Table_LuT_Deelnemers[[#This Row],[Is OO?]],Table_LuT_Deelnemers[[#This Row],[Maximale Subsidie FO - overheid]],Table_LuT_Deelnemers[[#This Row],[Maximale Subsidie FO - HTSM]])</f>
        <v>0</v>
      </c>
      <c r="CR9" s="8">
        <f ca="1">IF(Table_LuT_Deelnemers[[#This Row],[Is OO?]],Table_LuT_Deelnemers[[#This Row],[Maximale Subsidie IO - overheid]],Table_LuT_Deelnemers[[#This Row],[Maximale Subsidie IO - HTSM]])</f>
        <v>0</v>
      </c>
      <c r="CS9" s="8">
        <f ca="1">IF(Table_LuT_Deelnemers[[#This Row],[Is OO?]],Table_LuT_Deelnemers[[#This Row],[Maximale Subsidie EO - overheid]],Table_LuT_Deelnemers[[#This Row],[Maximale Subsidie EO - HTSM]])</f>
        <v>0</v>
      </c>
      <c r="CT9" s="328">
        <f ca="1">IF(Table_LuT_Deelnemers[[#This Row],[Is OO?]],Table_LuT_Deelnemers[[#This Row],[Maximale Subsidie Totaal - overheid]],Table_LuT_Deelnemers[[#This Row],[Maximale Subsidie Totaal - HTSM]])</f>
        <v>0</v>
      </c>
      <c r="CU9" s="11">
        <f>SUMIFS(Table_LuT_Deelnemers[Gevraagde Subsidie Totaal],Table_LuT_Deelnemers[Is OO?],TRUE)</f>
        <v>0</v>
      </c>
      <c r="CV9" s="11">
        <f ca="1">SUMIFS(Table_LuT_Begroting_Deelnemers[Maximale Subsidie OO - overheid],Table_LuT_Begroting_Deelnemers[Is OO?],TRUE)</f>
        <v>0</v>
      </c>
      <c r="CW9" s="11">
        <f ca="1">SUMIFS(Table_LuT_Begroting_Deelnemers[Maximale Subsidie OO - HTSM],Table_LuT_Begroting_Deelnemers[Is OO?],TRUE)</f>
        <v>0</v>
      </c>
      <c r="CX9" s="11">
        <f ca="1">SUMIFS(Table_LuT_Begroting_Deelnemers[Maximale Subsidie MKB - HTSM],Table_LuT_Begroting_Deelnemers[Is MKB?],TRUE)</f>
        <v>0</v>
      </c>
      <c r="CY9" s="11">
        <f ca="1">Table_LuT_Deelnemers[[#This Row],[SUM Maximale Subsidie - OO - HTSM]]+Table_LuT_Deelnemers[[#This Row],[SUM Maximale Subsidie - MKB - HTSM]]</f>
        <v>0</v>
      </c>
      <c r="CZ9" s="11">
        <f ca="1">MIN(Table_LuT_Deelnemers[[#This Row],[SUM  Maximale Subsidie - OO - overheid]],Table_LuT_Deelnemers[[#This Row],[SUM Maximale Subsidie - OO+MKB - HTSM]])</f>
        <v>0</v>
      </c>
    </row>
    <row r="10" spans="1:104" ht="15" customHeight="1" x14ac:dyDescent="0.25">
      <c r="A10" s="2" t="s">
        <v>66</v>
      </c>
      <c r="B10" s="2" t="s">
        <v>75</v>
      </c>
      <c r="C10" s="2" t="s">
        <v>94</v>
      </c>
      <c r="D10" s="3" t="str">
        <f>Table_LuT_Deelnemers[[#This Row],[ID Deelnemer]]</f>
        <v>Deelnemer 9</v>
      </c>
      <c r="E10" s="3" t="str" cm="1">
        <f t="array" ref="E10">IF(NOT(Table_LuT_Deelnemers[[#This Row],[DN niet leeg?]]),"",_xlfn.XLOOKUP(Table_LuT_Deelnemers[[#This Row],[ID Deelnemer]],INDEX(Range_Deelnemer_Nrs,,1),INDEX(Range_Deelnemer_Nrs,,2),"",0,1))</f>
        <v/>
      </c>
      <c r="F10" s="3" t="str" cm="1">
        <f t="array" ref="F10">IF(NOT(Table_LuT_Deelnemers[[#This Row],[Type Organisatie niet leeg?]]),"",_xlfn.XLOOKUP(Table_LuT_Deelnemers[[#This Row],[ID Deelnemer]],INDEX(Range_Deelnemer_Nrs,,1),INDEX(Range_Deelnemer_Nrs,,3),"",0,1))</f>
        <v/>
      </c>
      <c r="G10" s="3" t="str" cm="1">
        <f t="array" ref="G10">IF(NOT(Table_LuT_Deelnemers[[#This Row],[Type Organisatie niet leeg?]]),"",_xlfn.XLOOKUP(Table_LuT_Deelnemers[[#This Row],[Type Organisatie]],ValList_Type_Organisatie,Table_Val_List_Type_Org[TO]))</f>
        <v/>
      </c>
      <c r="H10" s="3" t="str" cm="1">
        <f t="array" ref="H10">IF(NOT(Table_LuT_Deelnemers[[#This Row],[KVK niet leeg?]]),"",_xlfn.XLOOKUP(Table_LuT_Deelnemers[[#This Row],[ID Deelnemer]],INDEX(Range_Deelnemer_Nrs,,1),INDEX(Range_Deelnemer_Nrs,,4),"",0,1))</f>
        <v/>
      </c>
      <c r="I10" s="3" t="str" cm="1">
        <f t="array" ref="I10">IF(NOT(Table_LuT_Deelnemers[[#This Row],[DN niet leeg?]]),"",IF(NOT(Table_LuT_Deelnemers[[#This Row],[Is Buitenlandse Organisatie]]),"",_xlfn.XLOOKUP(Table_LuT_Deelnemers[[#This Row],[ID Deelnemer]],INDEX(Range_Deelnemer_Nrs,,1),INDEX(Range_Deelnemer_Nrs,,5),"",0,1)))</f>
        <v/>
      </c>
      <c r="J10" s="3" t="str" cm="1">
        <f t="array" ref="J10">IF(NOT(Table_LuT_Deelnemers[[#This Row],[DN niet leeg?]]),"",_xlfn.XLOOKUP(Table_LuT_Deelnemers[[#This Row],[ID Deelnemer]],INDEX(Range_Deelnemer_Nrs,,1),INDEX(Range_Deelnemer_Nrs,,6),"",0,1)&lt;&gt;"nee")</f>
        <v/>
      </c>
      <c r="K10" s="3" t="str" cm="1">
        <f t="array" ref="K10">IF(NOT(Table_LuT_Deelnemers[[#This Row],[DN niet leeg?]]),"",_xlfn.LET(_xlpm.website,_xlfn.XLOOKUP(Table_LuT_Deelnemers[[#This Row],[ID Deelnemer]],INDEX(Range_Deelnemer_Nrs,,1),INDEX(Range_Deelnemer_Nrs,,7),"",0,1),IF(_xlpm.website=0,"",_xlpm.website)))</f>
        <v/>
      </c>
      <c r="L10" s="19" t="str" cm="1">
        <f t="array" aca="1" ref="L10" ca="1">IF(INDIRECT("'"&amp;Table_LuT_Deelnemers[[#This Row],[Naam Sheet]]&amp;"'!Kostensystematiek")="[Maak een keuze]","",INDIRECT("'"&amp;Table_LuT_Deelnemers[[#This Row],[Naam Sheet]]&amp;"'!Kostensystematiek"))</f>
        <v/>
      </c>
      <c r="M10" s="3" t="b">
        <f>Table_LuT_Deelnemers[[#This Row],[Type Organisatie]]="MKB"</f>
        <v>0</v>
      </c>
      <c r="N10" s="3" t="b">
        <f>Table_LuT_Deelnemers[[#This Row],[Type Organisatie]]="Onderzoeksorganisatie"</f>
        <v>0</v>
      </c>
      <c r="O10" s="3" t="b">
        <f>Table_LuT_Deelnemers[[#This Row],[Type Organisatie]]="Grootbedrijf"</f>
        <v>0</v>
      </c>
      <c r="P10" s="19" t="b">
        <f>Table_LuT_Deelnemers[[#This Row],[Verkorte Referentienaam Deelnemer]]="DN1"</f>
        <v>0</v>
      </c>
      <c r="Q10" s="3" t="b">
        <f t="shared" si="0"/>
        <v>0</v>
      </c>
      <c r="R10" s="3" t="b">
        <f t="shared" si="1"/>
        <v>0</v>
      </c>
      <c r="S10" s="3" t="b" cm="1">
        <f t="array" ref="S10">NOT(ISBLANK(_xlfn.XLOOKUP(Table_LuT_Deelnemers[[#This Row],[ID Deelnemer]],INDEX(Range_Deelnemer_Nrs,,1),INDEX(Range_Deelnemer_Nrs,,2),"",0,1)))</f>
        <v>0</v>
      </c>
      <c r="T10" s="3" t="b" cm="1">
        <f t="array" ref="T10">_xlfn.XLOOKUP(Table_LuT_Deelnemers[[#This Row],[ID Deelnemer]],INDEX(Range_Deelnemer_Nrs,,1),INDEX(Range_Deelnemer_Nrs,,3),"",0,1)&lt;&gt;"[Maak een keuze]"</f>
        <v>0</v>
      </c>
      <c r="U10" s="3" t="b" cm="1">
        <f t="array" ref="U10">NOT(ISBLANK(_xlfn.XLOOKUP(Table_LuT_Deelnemers[[#This Row],[ID Deelnemer]],INDEX(Range_Deelnemer_Nrs,,1),INDEX(Range_Deelnemer_Nrs,,4),"",0,1)))</f>
        <v>0</v>
      </c>
      <c r="V10" s="3" t="b" cm="1">
        <f t="array" ref="V10">NOT(ISBLANK(_xlfn.XLOOKUP(Table_LuT_Deelnemers[[#This Row],[ID Deelnemer]],INDEX(Range_Deelnemer_Nrs,,1),INDEX(Range_Deelnemer_Nrs,,5),"",0,1)))</f>
        <v>0</v>
      </c>
      <c r="W10" s="19" t="b" cm="1">
        <f t="array" aca="1" ref="W10" ca="1">INDIRECT("'"&amp;Table_LuT_Deelnemers[[#This Row],[Naam Sheet]]&amp;"'!Kostensystematiek")&lt;&gt;"[Maak een keuze]"</f>
        <v>0</v>
      </c>
      <c r="X10" s="248" t="b">
        <f>OR(NOT(Table_LuT_Deelnemers[[#This Row],[DN niet leeg?]]),Table_LuT_Deelnemers[[#This Row],[Is OO?]],NOT(Table_LuT_Deelnemers[[#This Row],[Is GB?]]))</f>
        <v>1</v>
      </c>
      <c r="Y10" s="3" t="b">
        <f>OR(Table_LuT_Deelnemers[[#This Row],[Verkorte Referentienaam Deelnemer]]&lt;&gt;"DN1",NOT(Table_LuT_Deelnemers[[#This Row],[Penvoerder niet leeg?]]),AND(Subsidie_instrument&lt;&gt;"[Maak een keuze]",NOT(ISBLANK(Projecttitel)),NOT(ISBLANK(Projectacroniem))))</f>
        <v>1</v>
      </c>
      <c r="Z10" s="3" t="b">
        <f t="shared" si="2"/>
        <v>1</v>
      </c>
      <c r="AA10" s="3" t="b">
        <f t="shared" si="3"/>
        <v>1</v>
      </c>
      <c r="AB10" s="3" t="b">
        <f>OR(Table_LuT_Deelnemers[[#This Row],[Verkorte Referentienaam Deelnemer]]&lt;&gt;"DN1",Table_LuT_Deelnemers[[#This Row],[Penvoerder niet leeg?]],NOT(Table_LuT_Deelnemers[[#This Row],[DN2 niet leeg?]]))</f>
        <v>1</v>
      </c>
      <c r="AC10" s="3" t="b">
        <f>OR(Table_LuT_Deelnemers[[#This Row],[Verkorte Referentienaam Deelnemer]]&lt;&gt;"DN2",NOT(_xlfn.XOR(Table_LuT_Deelnemers[[#This Row],[Penvoerder niet leeg?]],Table_LuT_Deelnemers[[#This Row],[DN2 niet leeg?]])))</f>
        <v>1</v>
      </c>
      <c r="AD10" s="3" t="b">
        <f>OR(Table_LuT_Deelnemers[[#This Row],[Verkorte Referentienaam Deelnemer]]="DN1",NOT(Table_LuT_Deelnemers[[#This Row],[DN niet leeg?]]),AND(S$2:S9))</f>
        <v>1</v>
      </c>
      <c r="AE10"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10" s="3" t="b">
        <f>OR(NOT(Table_LuT_Deelnemers[[#This Row],[DN niet leeg?]]),NOT(Table_LuT_Deelnemers[[#This Row],[DN2 niet leeg?]]),OR(Table_LuT_Deelnemers[Is OO?]))</f>
        <v>1</v>
      </c>
      <c r="AG10" s="3" t="b">
        <f>OR(Table_LuT_Deelnemers[[#This Row],[Verkorte Referentienaam Deelnemer]]="DN1",NOT(_xlfn.XOR(Table_LuT_Deelnemers[[#This Row],[DN niet leeg?]],Table_LuT_Deelnemers[[#This Row],[Type Organisatie niet leeg?]])))</f>
        <v>1</v>
      </c>
      <c r="AH10" s="3" t="b">
        <f>OR(Table_LuT_Deelnemers[[#This Row],[Verkorte Referentienaam Deelnemer]]&lt;&gt;"DN1",NOT(Table_LuT_Deelnemers[[#This Row],[Penvoerder niet leeg?]]),NOT(Table_LuT_Deelnemers[[#This Row],[Is Buitenlandse Organisatie]]))</f>
        <v>1</v>
      </c>
      <c r="AI10" s="3" t="b">
        <f>OR(NOT(Table_LuT_Deelnemers[[#This Row],[DN niet leeg?]]),Table_LuT_Deelnemers[[#This Row],[Is Buitenlandse Organisatie]],Table_LuT_Deelnemers[[#This Row],[KVK niet leeg?]])</f>
        <v>1</v>
      </c>
      <c r="AJ10" s="3" t="b">
        <f>OR(NOT(Table_LuT_Deelnemers[[#This Row],[DN niet leeg?]]),Table_LuT_Deelnemers[[#This Row],[Is Buitenlandse Organisatie]],AND(Table_LuT_Deelnemers[[#This Row],[KVK niet leeg?]],LEN(Table_LuT_Deelnemers[[#This Row],[KVK-nummer]])&lt;=8))</f>
        <v>1</v>
      </c>
      <c r="AK10" s="3" t="b">
        <f>OR(NOT(Table_LuT_Deelnemers[[#This Row],[DN niet leeg?]]),NOT(Table_LuT_Deelnemers[[#This Row],[Is Buitenlandse Organisatie]]),NOT(Table_LuT_Deelnemers[[#This Row],[KVK niet leeg?]]))</f>
        <v>1</v>
      </c>
      <c r="AL10" s="3" t="b">
        <f ca="1">OR(NOT(Table_LuT_Deelnemers[[#This Row],[DN niet leeg?]]),Table_LuT_Deelnemers[[#This Row],[Kostensystematiek niet leeg?]])</f>
        <v>1</v>
      </c>
      <c r="AM10" s="3" t="b" cm="1">
        <f t="array" aca="1" ref="AM10" ca="1">INDIRECT("'"&amp;Table_LuT_Deelnemers[[#This Row],[ID Deelnemer]]&amp;"'!Check_Vaste_uurtarief")</f>
        <v>1</v>
      </c>
      <c r="AN10" s="3" t="b" cm="1">
        <f t="array" ref="AN10">OR(NOT(Table_LuT_Deelnemers[[#This Row],[Is Penvoerder?]]),NOT(Table_LuT_Deelnemers[[#This Row],[DN niet leeg?]]),AND(OR(Var_Sub.instr.="MKB",Table_LuT_Deelnemers[[#This Row],[Is OO?]]),OR(Var_Sub.instr.&lt;&gt;"MKB",Table_LuT_Deelnemers[[#This Row],[Is MKB?]])))</f>
        <v>1</v>
      </c>
      <c r="AO10" s="3" t="b" cm="1">
        <f t="array" ref="AO10">OR(NOT(Table_LuT_Deelnemers[[#This Row],[DN niet leeg?]]),Var_Sub.instr.&lt;&gt;"MKB",Table_LuT_Deelnemers[[#This Row],[Is OO?]],Table_LuT_Deelnemers[[#This Row],[Is MKB?]])</f>
        <v>1</v>
      </c>
      <c r="AP10" s="3" t="b" cm="1">
        <f t="array" aca="1" ref="AP10" ca="1">IFERROR(Minimale_Cash_CoF&lt;=SUMIFS(Table_LuT_Deelnemers[Cash Bijdrage],Table_LuT_Deelnemers[Type Organisatie],"&lt;&gt;Onderzoeksorganisatie"),FALSE)</f>
        <v>1</v>
      </c>
      <c r="AQ10" s="3" t="b" cm="1">
        <f t="array" aca="1" ref="AQ10" ca="1">IFERROR(Minimale_Cash_CoF&lt;=SUMIFS(Table_LuT_Deelnemers[Cash Ontvangen],Table_LuT_Deelnemers[Type Organisatie],"Onderzoeksorganisatie"),FALSE)</f>
        <v>1</v>
      </c>
      <c r="AR10" s="3" t="b" cm="1">
        <f t="array" aca="1" ref="AR10" ca="1">AND(((Table_LuT_Deelnemers[Cash Bijdrage])=0) + ((Table_LuT_Deelnemers[Cash Ontvangen])=0))</f>
        <v>1</v>
      </c>
      <c r="AS10" s="3" t="b">
        <f ca="1">IFERROR(ABS(Table_LuT_Deelnemers[[#Totals],[Cash Bijdrage]]-Table_LuT_Deelnemers[[#Totals],[Cash Ontvangen]])&lt;1,FALSE)</f>
        <v>1</v>
      </c>
      <c r="AT10" s="3" t="b">
        <f ca="1">IFERROR(Table_LuT_Deelnemers[[#This Row],[Maximale Subsidie FO - HTSM^overheid]]&gt;=Table_LuT_Deelnemers[[#This Row],[Gevraagde Subsidie FO]],FALSE)</f>
        <v>1</v>
      </c>
      <c r="AU10" s="3" t="b">
        <f ca="1">IFERROR(Table_LuT_Deelnemers[[#This Row],[Maximale Subsidie IO - HTSM^overheid]]&gt;=Table_LuT_Deelnemers[[#This Row],[Gevraagde Subsidie IO]],FALSE)</f>
        <v>1</v>
      </c>
      <c r="AV10" s="3" t="b">
        <f ca="1">IFERROR(Table_LuT_Deelnemers[[#This Row],[Maximale Subsidie EO - HTSM^overheid]]&gt;=Table_LuT_Deelnemers[[#This Row],[Gevraagde Subsidie EO]],FALSE)</f>
        <v>1</v>
      </c>
      <c r="AW10" s="3" t="b" cm="1">
        <f t="array" aca="1" ref="AW10"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10" s="3" t="b">
        <f ca="1">IFERROR(Table_LuT_Deelnemers[[#Totals],[Maximale Subsidie Totaal - HTSM]]&gt;=Table_LuT_Deelnemers[[#Totals],[Gevraagde Subsidie Totaal]],FALSE)</f>
        <v>1</v>
      </c>
      <c r="AY10" s="3" t="b" cm="1">
        <f t="array" aca="1" ref="AY10" ca="1">OR(NOT(Table_LuT_Deelnemers[[#This Row],[DN niet leeg?]]),Var_Sub.instr.="MKB",Table_LuT_Deelnemers[[#This Row],[Type Organisatie]]="Onderzoeksorganisatie",Table_LuT_Deelnemers[[#This Row],[Gevraagde Subsidie Totaal]]=0)</f>
        <v>1</v>
      </c>
      <c r="AZ10" s="3" t="b" cm="1">
        <f t="array" aca="1" ref="AZ10"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10" s="3" t="b" cm="1">
        <f t="array" aca="1" ref="BA10" ca="1">IFERROR(AND(ABS((Table_LuT_Deelnemers[Kosten Totaal])-(Table_LuT_Deelnemers[Financiering Totaal]))&lt;1),FALSE)</f>
        <v>1</v>
      </c>
      <c r="BB10" s="3" t="b">
        <f ca="1">IFERROR(ABS(Table_LuT_Deelnemers[[#Totals],[Financiering Totaal]]-Table_LuT_Deelnemers[[#Totals],[Kosten Totaal]])&lt;1,FALSE)</f>
        <v>1</v>
      </c>
      <c r="BC10" s="3" t="b" cm="1">
        <f t="array" aca="1" ref="BC10" ca="1">OR(Var_Sub.instr.&lt;&gt;"MKB",AND(Table_LuT_Deelnemers[Kosten FO]=0,Table_LuT_Deelnemers[Kosten EO]=0))</f>
        <v>1</v>
      </c>
      <c r="BD10" s="3" t="b" cm="1">
        <f t="array" ref="BD10">IF(Var_Sub.instr.="MKB",AND(Table_LuT_Deelnemers[Verhouding SUM kosten OOs / SUM kosten MKBs is OK?]),TRUE)</f>
        <v>1</v>
      </c>
      <c r="BE10" s="3" t="b" cm="1">
        <f t="array" ref="BE10">IF(Var_Sub.instr.="MKB",AND(Table_LuT_Deelnemers[SUM Maximale Subsidie MKBs &lt;= € 300,000, als MKB-call],Table_LuT_Deelnemers[SUM Maximale Subsidie OOs &lt;= € 150,000, als MKB-call]),TRUE)</f>
        <v>1</v>
      </c>
      <c r="BF10" s="3" t="b" cm="1">
        <f t="array" aca="1" ref="BF10" ca="1">AND(( (Table_LuT_Deelnemers[Naam Organisatie]&lt;&gt;"") + ((Table_LuT_Deelnemers[Cash Bijdrage]=0) * (Table_LuT_Deelnemers[Financiering Totaal]=0)) ))</f>
        <v>1</v>
      </c>
      <c r="BG10" s="3" t="b" cm="1">
        <f t="array" aca="1" ref="BG10" ca="1">IFERROR(AND((Table_LuT_Deelnemers[[Cash Bijdrage]:[Gevraagde Subsidie EO]]="") + (ISNUMBER(Table_LuT_Deelnemers[[Cash Bijdrage]:[Gevraagde Subsidie EO]]) * (Table_LuT_Deelnemers[[Cash Bijdrage]:[Gevraagde Subsidie EO]]&gt;=0) * (MOD(Table_LuT_Deelnemers[[Cash Bijdrage]:[Gevraagde Subsidie EO]],1)=0))),FALSE)</f>
        <v>1</v>
      </c>
      <c r="BH10" s="246" t="b">
        <f t="shared" si="4"/>
        <v>0</v>
      </c>
      <c r="BI10" s="19" t="b">
        <f ca="1">AND(Table_LuT_Deelnemers[[#This Row],[Check 005]:[Check 990]])</f>
        <v>0</v>
      </c>
      <c r="BJ10" s="11">
        <f>SUMIFS(Table_LuT_Deelnemers[Kosten Totaal],Table_LuT_Deelnemers[Is MKB?],TRUE)</f>
        <v>0</v>
      </c>
      <c r="BK10" s="11">
        <f>SUMIFS(Table_LuT_Deelnemers[Kosten Totaal],Table_LuT_Deelnemers[Is OO?],TRUE)</f>
        <v>0</v>
      </c>
      <c r="BL10" s="243" t="b" cm="1">
        <f t="array" ref="BL10">IF(Var_Sub.instr.="MKB",IF(Table_LuT_Deelnemers[[#This Row],[SUM Kosten MKBs]]=0,FALSE,Table_LuT_Deelnemers[[#This Row],[SUM Kosten OOs]]/Table_LuT_Deelnemers[[#This Row],[SUM Kosten MKBs]]&lt;=0.5),TRUE)</f>
        <v>1</v>
      </c>
      <c r="BM10" s="8" cm="1">
        <f t="array" aca="1" ref="BM10" ca="1">INDIRECT("Kst_FO_"&amp;Table_LuT_Deelnemers[[#This Row],[Verkorte Referentienaam Deelnemer]])</f>
        <v>0</v>
      </c>
      <c r="BN10" s="8" cm="1">
        <f t="array" aca="1" ref="BN10" ca="1">INDIRECT("Kst_IO_"&amp;Table_LuT_Deelnemers[[#This Row],[Verkorte Referentienaam Deelnemer]])</f>
        <v>0</v>
      </c>
      <c r="BO10" s="8" cm="1">
        <f t="array" aca="1" ref="BO10" ca="1">INDIRECT("Kst_EO_"&amp;Table_LuT_Deelnemers[[#This Row],[Verkorte Referentienaam Deelnemer]])</f>
        <v>0</v>
      </c>
      <c r="BP10" s="8" cm="1">
        <f t="array" aca="1" ref="BP10" ca="1">INDIRECT("Kst_Tot_"&amp;Table_LuT_Deelnemers[[#This Row],[Verkorte Referentienaam Deelnemer]])</f>
        <v>0</v>
      </c>
      <c r="BQ10" s="330" cm="1">
        <f t="array" aca="1" ref="BQ10" ca="1">INDIRECT("'"&amp;A10&amp;"'!Kosten_Apparatuur")</f>
        <v>0</v>
      </c>
      <c r="BR10" s="8" cm="1">
        <f t="array" aca="1" ref="BR10" ca="1">INDIRECT("Max_Sub_FO_"&amp;Table_LuT_Deelnemers[[#This Row],[Verkorte Referentienaam Deelnemer]])</f>
        <v>0</v>
      </c>
      <c r="BS10" s="8" cm="1">
        <f t="array" aca="1" ref="BS10" ca="1">INDIRECT("Max_Sub_IO_"&amp;Table_LuT_Deelnemers[[#This Row],[Verkorte Referentienaam Deelnemer]])</f>
        <v>0</v>
      </c>
      <c r="BT10" s="8" cm="1">
        <f t="array" aca="1" ref="BT10" ca="1">INDIRECT("Max_Sub_EO_"&amp;Table_LuT_Deelnemers[[#This Row],[Verkorte Referentienaam Deelnemer]])</f>
        <v>0</v>
      </c>
      <c r="BU10" s="328" cm="1">
        <f t="array" aca="1" ref="BU10" ca="1">INDIRECT("Max_Sub_"&amp;Table_LuT_Deelnemers[[#This Row],[Verkorte Referentienaam Deelnemer]])</f>
        <v>0</v>
      </c>
      <c r="BV10" s="190" cm="1">
        <f t="array" aca="1" ref="BV10" ca="1">INDIRECT("Cash_"&amp;Table_LuT_Deelnemers[[#This Row],[Verkorte Referentienaam Deelnemer]])</f>
        <v>0</v>
      </c>
      <c r="BW10" s="8" cm="1">
        <f t="array" aca="1" ref="BW10" ca="1">INDIRECT("Cash_Ontvangen_"&amp;Table_LuT_Deelnemers[[#This Row],[Verkorte Referentienaam Deelnemer]])</f>
        <v>0</v>
      </c>
      <c r="BX10" s="8" cm="1">
        <f t="array" aca="1" ref="BX10" ca="1">INDIRECT("In_kind_"&amp;Table_LuT_Deelnemers[[#This Row],[Verkorte Referentienaam Deelnemer]])</f>
        <v>0</v>
      </c>
      <c r="BY10" s="8" cm="1">
        <f t="array" aca="1" ref="BY10" ca="1">INDIRECT("Overige_Subsidies_"&amp;Table_LuT_Deelnemers[[#This Row],[Verkorte Referentienaam Deelnemer]])</f>
        <v>0</v>
      </c>
      <c r="BZ10" s="190" cm="1">
        <f t="array" aca="1" ref="BZ10" ca="1">INDIRECT("Subsidie_FO_"&amp;Table_LuT_Deelnemers[[#This Row],[Verkorte Referentienaam Deelnemer]])</f>
        <v>0</v>
      </c>
      <c r="CA10" s="190" cm="1">
        <f t="array" aca="1" ref="CA10" ca="1">INDIRECT("Subsidie_IO_"&amp;Table_LuT_Deelnemers[[#This Row],[Verkorte Referentienaam Deelnemer]])</f>
        <v>0</v>
      </c>
      <c r="CB10" s="190" cm="1">
        <f t="array" aca="1" ref="CB10" ca="1">INDIRECT("Subsidie_EO_"&amp;Table_LuT_Deelnemers[[#This Row],[Verkorte Referentienaam Deelnemer]])</f>
        <v>0</v>
      </c>
      <c r="CC10" s="8" cm="1">
        <f t="array" aca="1" ref="CC10" ca="1">INDIRECT("Subsidie_"&amp;Table_LuT_Deelnemers[[#This Row],[Verkorte Referentienaam Deelnemer]])</f>
        <v>0</v>
      </c>
      <c r="CD10" s="254" cm="1">
        <f t="array" aca="1" ref="CD10" ca="1">INDIRECT("Fin_Tot_"&amp;Table_LuT_Deelnemers[[#This Row],[Verkorte Referentienaam Deelnemer]])</f>
        <v>0</v>
      </c>
      <c r="CE10" s="8">
        <f ca="1">_xlfn.LET(_xlpm.Var_Delta,Table_LuT_Deelnemers[[#This Row],[Gevraagde Subsidie FO]]-Table_LuT_Deelnemers[[#This Row],[Maximale Subsidie FO - HTSM^overheid]],IF(_xlpm.Var_Delta&gt;0,_xlpm.Var_Delta,0))</f>
        <v>0</v>
      </c>
      <c r="CF10" s="8">
        <f ca="1">_xlfn.LET(_xlpm.Var_Delta,Table_LuT_Deelnemers[[#This Row],[Gevraagde Subsidie IO]]-Table_LuT_Deelnemers[[#This Row],[Maximale Subsidie IO - HTSM^overheid]],IF(_xlpm.Var_Delta&gt;0,_xlpm.Var_Delta,0))</f>
        <v>0</v>
      </c>
      <c r="CG10" s="8">
        <f ca="1">_xlfn.LET(_xlpm.Var_Delta,Table_LuT_Deelnemers[[#This Row],[Gevraagde Subsidie EO]]-Table_LuT_Deelnemers[[#This Row],[Maximale Subsidie EO - HTSM^overheid]],IF(_xlpm.Var_Delta&gt;0,_xlpm.Var_Delta,0))</f>
        <v>0</v>
      </c>
      <c r="CH10" s="8">
        <f ca="1">_xlfn.LET(_xlpm.Var_Delta,Table_LuT_Deelnemers[[#This Row],[Gevraagde Subsidie Totaal]]-Table_LuT_Deelnemers[[#This Row],[Maximale Subsidie Totaal - HTSM^overheid]],IF(_xlpm.Var_Delta&gt;0,_xlpm.Var_Delta,0))</f>
        <v>0</v>
      </c>
      <c r="CI10" s="11">
        <f>SUMIFS(Table_LuT_Deelnemers[Gevraagde Subsidie Totaal],Table_LuT_Deelnemers[Is MKB?],TRUE)</f>
        <v>0</v>
      </c>
      <c r="CJ10" s="11">
        <f>SUMIFS(Table_LuT_Deelnemers[Gevraagde Subsidie Totaal],Table_LuT_Deelnemers[Is OO?],TRUE)</f>
        <v>0</v>
      </c>
      <c r="CK10" s="11" t="b" cm="1">
        <f t="array" ref="CK10">IF(Var_Sub.instr.="MKB",Table_LuT_Deelnemers[[#This Row],[SUM Gevraagde Subsidie MKBs]]&lt;=Var_MaxSub_MKB_call_MKB,TRUE)</f>
        <v>1</v>
      </c>
      <c r="CL10" s="243" t="b" cm="1">
        <f t="array" ref="CL10">IF(Var_Sub.instr.="MKB",Table_LuT_Deelnemers[[#This Row],[SUM Gevraagde Subsidie OOs]]&lt;=Var_MaxSub_MKB_call_OO,TRUE)</f>
        <v>1</v>
      </c>
      <c r="CM10" s="8">
        <f ca="1">SUMIFS(Table_LuT_Begroting_Deelnemers[Maximale Subsidie - overheid],Table_LuT_Begroting_Deelnemers[Verkorte Referentienaam Deelnemer],Table_LuT_Deelnemers[[#This Row],[Verkorte Referentienaam Deelnemer]],Table_LuT_Begroting_Deelnemers[FO | IO | EO],"FO")</f>
        <v>0</v>
      </c>
      <c r="CN10" s="8">
        <f ca="1">SUMIFS(Table_LuT_Begroting_Deelnemers[Maximale Subsidie - overheid],Table_LuT_Begroting_Deelnemers[Verkorte Referentienaam Deelnemer],Table_LuT_Deelnemers[[#This Row],[Verkorte Referentienaam Deelnemer]],Table_LuT_Begroting_Deelnemers[FO | IO | EO],"IO")</f>
        <v>0</v>
      </c>
      <c r="CO10" s="8">
        <f ca="1">SUMIFS(Table_LuT_Begroting_Deelnemers[Maximale Subsidie - overheid],Table_LuT_Begroting_Deelnemers[Verkorte Referentienaam Deelnemer],Table_LuT_Deelnemers[[#This Row],[Verkorte Referentienaam Deelnemer]],Table_LuT_Begroting_Deelnemers[FO | IO | EO],"EO")</f>
        <v>0</v>
      </c>
      <c r="CP10" s="328">
        <f ca="1">SUMIFS(Table_LuT_Begroting_Deelnemers[Maximale Subsidie - overheid],Table_LuT_Begroting_Deelnemers[Verkorte Referentienaam Deelnemer],Table_LuT_Deelnemers[[#This Row],[Verkorte Referentienaam Deelnemer]])</f>
        <v>0</v>
      </c>
      <c r="CQ10" s="8">
        <f ca="1">IF(Table_LuT_Deelnemers[[#This Row],[Is OO?]],Table_LuT_Deelnemers[[#This Row],[Maximale Subsidie FO - overheid]],Table_LuT_Deelnemers[[#This Row],[Maximale Subsidie FO - HTSM]])</f>
        <v>0</v>
      </c>
      <c r="CR10" s="8">
        <f ca="1">IF(Table_LuT_Deelnemers[[#This Row],[Is OO?]],Table_LuT_Deelnemers[[#This Row],[Maximale Subsidie IO - overheid]],Table_LuT_Deelnemers[[#This Row],[Maximale Subsidie IO - HTSM]])</f>
        <v>0</v>
      </c>
      <c r="CS10" s="8">
        <f ca="1">IF(Table_LuT_Deelnemers[[#This Row],[Is OO?]],Table_LuT_Deelnemers[[#This Row],[Maximale Subsidie EO - overheid]],Table_LuT_Deelnemers[[#This Row],[Maximale Subsidie EO - HTSM]])</f>
        <v>0</v>
      </c>
      <c r="CT10" s="328">
        <f ca="1">IF(Table_LuT_Deelnemers[[#This Row],[Is OO?]],Table_LuT_Deelnemers[[#This Row],[Maximale Subsidie Totaal - overheid]],Table_LuT_Deelnemers[[#This Row],[Maximale Subsidie Totaal - HTSM]])</f>
        <v>0</v>
      </c>
      <c r="CU10" s="11">
        <f>SUMIFS(Table_LuT_Deelnemers[Gevraagde Subsidie Totaal],Table_LuT_Deelnemers[Is OO?],TRUE)</f>
        <v>0</v>
      </c>
      <c r="CV10" s="11">
        <f ca="1">SUMIFS(Table_LuT_Begroting_Deelnemers[Maximale Subsidie OO - overheid],Table_LuT_Begroting_Deelnemers[Is OO?],TRUE)</f>
        <v>0</v>
      </c>
      <c r="CW10" s="11">
        <f ca="1">SUMIFS(Table_LuT_Begroting_Deelnemers[Maximale Subsidie OO - HTSM],Table_LuT_Begroting_Deelnemers[Is OO?],TRUE)</f>
        <v>0</v>
      </c>
      <c r="CX10" s="11">
        <f ca="1">SUMIFS(Table_LuT_Begroting_Deelnemers[Maximale Subsidie MKB - HTSM],Table_LuT_Begroting_Deelnemers[Is MKB?],TRUE)</f>
        <v>0</v>
      </c>
      <c r="CY10" s="11">
        <f ca="1">Table_LuT_Deelnemers[[#This Row],[SUM Maximale Subsidie - OO - HTSM]]+Table_LuT_Deelnemers[[#This Row],[SUM Maximale Subsidie - MKB - HTSM]]</f>
        <v>0</v>
      </c>
      <c r="CZ10" s="11">
        <f ca="1">MIN(Table_LuT_Deelnemers[[#This Row],[SUM  Maximale Subsidie - OO - overheid]],Table_LuT_Deelnemers[[#This Row],[SUM Maximale Subsidie - OO+MKB - HTSM]])</f>
        <v>0</v>
      </c>
    </row>
    <row r="11" spans="1:104" ht="15" customHeight="1" x14ac:dyDescent="0.25">
      <c r="A11" s="2" t="s">
        <v>67</v>
      </c>
      <c r="B11" s="2" t="s">
        <v>76</v>
      </c>
      <c r="C11" s="2" t="s">
        <v>95</v>
      </c>
      <c r="D11" s="3" t="str">
        <f>Table_LuT_Deelnemers[[#This Row],[ID Deelnemer]]</f>
        <v>Deelnemer 10</v>
      </c>
      <c r="E11" s="3" t="str" cm="1">
        <f t="array" ref="E11">IF(NOT(Table_LuT_Deelnemers[[#This Row],[DN niet leeg?]]),"",_xlfn.XLOOKUP(Table_LuT_Deelnemers[[#This Row],[ID Deelnemer]],INDEX(Range_Deelnemer_Nrs,,1),INDEX(Range_Deelnemer_Nrs,,2),"",0,1))</f>
        <v/>
      </c>
      <c r="F11" s="3" t="str" cm="1">
        <f t="array" ref="F11">IF(NOT(Table_LuT_Deelnemers[[#This Row],[Type Organisatie niet leeg?]]),"",_xlfn.XLOOKUP(Table_LuT_Deelnemers[[#This Row],[ID Deelnemer]],INDEX(Range_Deelnemer_Nrs,,1),INDEX(Range_Deelnemer_Nrs,,3),"",0,1))</f>
        <v/>
      </c>
      <c r="G11" s="3" t="str" cm="1">
        <f t="array" ref="G11">IF(NOT(Table_LuT_Deelnemers[[#This Row],[Type Organisatie niet leeg?]]),"",_xlfn.XLOOKUP(Table_LuT_Deelnemers[[#This Row],[Type Organisatie]],ValList_Type_Organisatie,Table_Val_List_Type_Org[TO]))</f>
        <v/>
      </c>
      <c r="H11" s="3" t="str" cm="1">
        <f t="array" ref="H11">IF(NOT(Table_LuT_Deelnemers[[#This Row],[KVK niet leeg?]]),"",_xlfn.XLOOKUP(Table_LuT_Deelnemers[[#This Row],[ID Deelnemer]],INDEX(Range_Deelnemer_Nrs,,1),INDEX(Range_Deelnemer_Nrs,,4),"",0,1))</f>
        <v/>
      </c>
      <c r="I11" s="3" t="str" cm="1">
        <f t="array" ref="I11">IF(NOT(Table_LuT_Deelnemers[[#This Row],[DN niet leeg?]]),"",IF(NOT(Table_LuT_Deelnemers[[#This Row],[Is Buitenlandse Organisatie]]),"",_xlfn.XLOOKUP(Table_LuT_Deelnemers[[#This Row],[ID Deelnemer]],INDEX(Range_Deelnemer_Nrs,,1),INDEX(Range_Deelnemer_Nrs,,5),"",0,1)))</f>
        <v/>
      </c>
      <c r="J11" s="3" t="str" cm="1">
        <f t="array" ref="J11">IF(NOT(Table_LuT_Deelnemers[[#This Row],[DN niet leeg?]]),"",_xlfn.XLOOKUP(Table_LuT_Deelnemers[[#This Row],[ID Deelnemer]],INDEX(Range_Deelnemer_Nrs,,1),INDEX(Range_Deelnemer_Nrs,,6),"",0,1)&lt;&gt;"nee")</f>
        <v/>
      </c>
      <c r="K11" s="3" t="str" cm="1">
        <f t="array" ref="K11">IF(NOT(Table_LuT_Deelnemers[[#This Row],[DN niet leeg?]]),"",_xlfn.LET(_xlpm.website,_xlfn.XLOOKUP(Table_LuT_Deelnemers[[#This Row],[ID Deelnemer]],INDEX(Range_Deelnemer_Nrs,,1),INDEX(Range_Deelnemer_Nrs,,7),"",0,1),IF(_xlpm.website=0,"",_xlpm.website)))</f>
        <v/>
      </c>
      <c r="L11" s="19" t="str" cm="1">
        <f t="array" aca="1" ref="L11" ca="1">IF(INDIRECT("'"&amp;Table_LuT_Deelnemers[[#This Row],[Naam Sheet]]&amp;"'!Kostensystematiek")="[Maak een keuze]","",INDIRECT("'"&amp;Table_LuT_Deelnemers[[#This Row],[Naam Sheet]]&amp;"'!Kostensystematiek"))</f>
        <v/>
      </c>
      <c r="M11" s="3" t="b">
        <f>Table_LuT_Deelnemers[[#This Row],[Type Organisatie]]="MKB"</f>
        <v>0</v>
      </c>
      <c r="N11" s="3" t="b">
        <f>Table_LuT_Deelnemers[[#This Row],[Type Organisatie]]="Onderzoeksorganisatie"</f>
        <v>0</v>
      </c>
      <c r="O11" s="3" t="b">
        <f>Table_LuT_Deelnemers[[#This Row],[Type Organisatie]]="Grootbedrijf"</f>
        <v>0</v>
      </c>
      <c r="P11" s="19" t="b">
        <f>Table_LuT_Deelnemers[[#This Row],[Verkorte Referentienaam Deelnemer]]="DN1"</f>
        <v>0</v>
      </c>
      <c r="Q11" s="3" t="b">
        <f t="shared" si="0"/>
        <v>0</v>
      </c>
      <c r="R11" s="3" t="b">
        <f t="shared" si="1"/>
        <v>0</v>
      </c>
      <c r="S11" s="3" t="b" cm="1">
        <f t="array" ref="S11">NOT(ISBLANK(_xlfn.XLOOKUP(Table_LuT_Deelnemers[[#This Row],[ID Deelnemer]],INDEX(Range_Deelnemer_Nrs,,1),INDEX(Range_Deelnemer_Nrs,,2),"",0,1)))</f>
        <v>0</v>
      </c>
      <c r="T11" s="3" t="b" cm="1">
        <f t="array" ref="T11">_xlfn.XLOOKUP(Table_LuT_Deelnemers[[#This Row],[ID Deelnemer]],INDEX(Range_Deelnemer_Nrs,,1),INDEX(Range_Deelnemer_Nrs,,3),"",0,1)&lt;&gt;"[Maak een keuze]"</f>
        <v>0</v>
      </c>
      <c r="U11" s="3" t="b" cm="1">
        <f t="array" ref="U11">NOT(ISBLANK(_xlfn.XLOOKUP(Table_LuT_Deelnemers[[#This Row],[ID Deelnemer]],INDEX(Range_Deelnemer_Nrs,,1),INDEX(Range_Deelnemer_Nrs,,4),"",0,1)))</f>
        <v>0</v>
      </c>
      <c r="V11" s="3" t="b" cm="1">
        <f t="array" ref="V11">NOT(ISBLANK(_xlfn.XLOOKUP(Table_LuT_Deelnemers[[#This Row],[ID Deelnemer]],INDEX(Range_Deelnemer_Nrs,,1),INDEX(Range_Deelnemer_Nrs,,5),"",0,1)))</f>
        <v>0</v>
      </c>
      <c r="W11" s="19" t="b" cm="1">
        <f t="array" aca="1" ref="W11" ca="1">INDIRECT("'"&amp;Table_LuT_Deelnemers[[#This Row],[Naam Sheet]]&amp;"'!Kostensystematiek")&lt;&gt;"[Maak een keuze]"</f>
        <v>0</v>
      </c>
      <c r="X11" s="248" t="b">
        <f>OR(NOT(Table_LuT_Deelnemers[[#This Row],[DN niet leeg?]]),Table_LuT_Deelnemers[[#This Row],[Is OO?]],NOT(Table_LuT_Deelnemers[[#This Row],[Is GB?]]))</f>
        <v>1</v>
      </c>
      <c r="Y11" s="3" t="b">
        <f>OR(Table_LuT_Deelnemers[[#This Row],[Verkorte Referentienaam Deelnemer]]&lt;&gt;"DN1",NOT(Table_LuT_Deelnemers[[#This Row],[Penvoerder niet leeg?]]),AND(Subsidie_instrument&lt;&gt;"[Maak een keuze]",NOT(ISBLANK(Projecttitel)),NOT(ISBLANK(Projectacroniem))))</f>
        <v>1</v>
      </c>
      <c r="Z11" s="3" t="b">
        <f t="shared" si="2"/>
        <v>1</v>
      </c>
      <c r="AA11" s="3" t="b">
        <f t="shared" si="3"/>
        <v>1</v>
      </c>
      <c r="AB11" s="3" t="b">
        <f>OR(Table_LuT_Deelnemers[[#This Row],[Verkorte Referentienaam Deelnemer]]&lt;&gt;"DN1",Table_LuT_Deelnemers[[#This Row],[Penvoerder niet leeg?]],NOT(Table_LuT_Deelnemers[[#This Row],[DN2 niet leeg?]]))</f>
        <v>1</v>
      </c>
      <c r="AC11" s="3" t="b">
        <f>OR(Table_LuT_Deelnemers[[#This Row],[Verkorte Referentienaam Deelnemer]]&lt;&gt;"DN2",NOT(_xlfn.XOR(Table_LuT_Deelnemers[[#This Row],[Penvoerder niet leeg?]],Table_LuT_Deelnemers[[#This Row],[DN2 niet leeg?]])))</f>
        <v>1</v>
      </c>
      <c r="AD11" s="3" t="b">
        <f>OR(Table_LuT_Deelnemers[[#This Row],[Verkorte Referentienaam Deelnemer]]="DN1",NOT(Table_LuT_Deelnemers[[#This Row],[DN niet leeg?]]),AND(S$2:S10))</f>
        <v>1</v>
      </c>
      <c r="AE11"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11" s="3" t="b">
        <f>OR(NOT(Table_LuT_Deelnemers[[#This Row],[DN niet leeg?]]),NOT(Table_LuT_Deelnemers[[#This Row],[DN2 niet leeg?]]),OR(Table_LuT_Deelnemers[Is OO?]))</f>
        <v>1</v>
      </c>
      <c r="AG11" s="3" t="b">
        <f>OR(Table_LuT_Deelnemers[[#This Row],[Verkorte Referentienaam Deelnemer]]="DN1",NOT(_xlfn.XOR(Table_LuT_Deelnemers[[#This Row],[DN niet leeg?]],Table_LuT_Deelnemers[[#This Row],[Type Organisatie niet leeg?]])))</f>
        <v>1</v>
      </c>
      <c r="AH11" s="3" t="b">
        <f>OR(Table_LuT_Deelnemers[[#This Row],[Verkorte Referentienaam Deelnemer]]&lt;&gt;"DN1",NOT(Table_LuT_Deelnemers[[#This Row],[Penvoerder niet leeg?]]),NOT(Table_LuT_Deelnemers[[#This Row],[Is Buitenlandse Organisatie]]))</f>
        <v>1</v>
      </c>
      <c r="AI11" s="3" t="b">
        <f>OR(NOT(Table_LuT_Deelnemers[[#This Row],[DN niet leeg?]]),Table_LuT_Deelnemers[[#This Row],[Is Buitenlandse Organisatie]],Table_LuT_Deelnemers[[#This Row],[KVK niet leeg?]])</f>
        <v>1</v>
      </c>
      <c r="AJ11" s="3" t="b">
        <f>OR(NOT(Table_LuT_Deelnemers[[#This Row],[DN niet leeg?]]),Table_LuT_Deelnemers[[#This Row],[Is Buitenlandse Organisatie]],AND(Table_LuT_Deelnemers[[#This Row],[KVK niet leeg?]],LEN(Table_LuT_Deelnemers[[#This Row],[KVK-nummer]])&lt;=8))</f>
        <v>1</v>
      </c>
      <c r="AK11" s="3" t="b">
        <f>OR(NOT(Table_LuT_Deelnemers[[#This Row],[DN niet leeg?]]),NOT(Table_LuT_Deelnemers[[#This Row],[Is Buitenlandse Organisatie]]),NOT(Table_LuT_Deelnemers[[#This Row],[KVK niet leeg?]]))</f>
        <v>1</v>
      </c>
      <c r="AL11" s="3" t="b">
        <f ca="1">OR(NOT(Table_LuT_Deelnemers[[#This Row],[DN niet leeg?]]),Table_LuT_Deelnemers[[#This Row],[Kostensystematiek niet leeg?]])</f>
        <v>1</v>
      </c>
      <c r="AM11" s="3" t="b" cm="1">
        <f t="array" aca="1" ref="AM11" ca="1">INDIRECT("'"&amp;Table_LuT_Deelnemers[[#This Row],[ID Deelnemer]]&amp;"'!Check_Vaste_uurtarief")</f>
        <v>1</v>
      </c>
      <c r="AN11" s="3" t="b" cm="1">
        <f t="array" ref="AN11">OR(NOT(Table_LuT_Deelnemers[[#This Row],[Is Penvoerder?]]),NOT(Table_LuT_Deelnemers[[#This Row],[DN niet leeg?]]),AND(OR(Var_Sub.instr.="MKB",Table_LuT_Deelnemers[[#This Row],[Is OO?]]),OR(Var_Sub.instr.&lt;&gt;"MKB",Table_LuT_Deelnemers[[#This Row],[Is MKB?]])))</f>
        <v>1</v>
      </c>
      <c r="AO11" s="3" t="b" cm="1">
        <f t="array" ref="AO11">OR(NOT(Table_LuT_Deelnemers[[#This Row],[DN niet leeg?]]),Var_Sub.instr.&lt;&gt;"MKB",Table_LuT_Deelnemers[[#This Row],[Is OO?]],Table_LuT_Deelnemers[[#This Row],[Is MKB?]])</f>
        <v>1</v>
      </c>
      <c r="AP11" s="3" t="b" cm="1">
        <f t="array" aca="1" ref="AP11" ca="1">IFERROR(Minimale_Cash_CoF&lt;=SUMIFS(Table_LuT_Deelnemers[Cash Bijdrage],Table_LuT_Deelnemers[Type Organisatie],"&lt;&gt;Onderzoeksorganisatie"),FALSE)</f>
        <v>1</v>
      </c>
      <c r="AQ11" s="3" t="b" cm="1">
        <f t="array" aca="1" ref="AQ11" ca="1">IFERROR(Minimale_Cash_CoF&lt;=SUMIFS(Table_LuT_Deelnemers[Cash Ontvangen],Table_LuT_Deelnemers[Type Organisatie],"Onderzoeksorganisatie"),FALSE)</f>
        <v>1</v>
      </c>
      <c r="AR11" s="3" t="b" cm="1">
        <f t="array" aca="1" ref="AR11" ca="1">AND(((Table_LuT_Deelnemers[Cash Bijdrage])=0) + ((Table_LuT_Deelnemers[Cash Ontvangen])=0))</f>
        <v>1</v>
      </c>
      <c r="AS11" s="3" t="b">
        <f ca="1">IFERROR(ABS(Table_LuT_Deelnemers[[#Totals],[Cash Bijdrage]]-Table_LuT_Deelnemers[[#Totals],[Cash Ontvangen]])&lt;1,FALSE)</f>
        <v>1</v>
      </c>
      <c r="AT11" s="3" t="b">
        <f ca="1">IFERROR(Table_LuT_Deelnemers[[#This Row],[Maximale Subsidie FO - HTSM^overheid]]&gt;=Table_LuT_Deelnemers[[#This Row],[Gevraagde Subsidie FO]],FALSE)</f>
        <v>1</v>
      </c>
      <c r="AU11" s="3" t="b">
        <f ca="1">IFERROR(Table_LuT_Deelnemers[[#This Row],[Maximale Subsidie IO - HTSM^overheid]]&gt;=Table_LuT_Deelnemers[[#This Row],[Gevraagde Subsidie IO]],FALSE)</f>
        <v>1</v>
      </c>
      <c r="AV11" s="3" t="b">
        <f ca="1">IFERROR(Table_LuT_Deelnemers[[#This Row],[Maximale Subsidie EO - HTSM^overheid]]&gt;=Table_LuT_Deelnemers[[#This Row],[Gevraagde Subsidie EO]],FALSE)</f>
        <v>1</v>
      </c>
      <c r="AW11" s="3" t="b" cm="1">
        <f t="array" aca="1" ref="AW11"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11" s="3" t="b">
        <f ca="1">IFERROR(Table_LuT_Deelnemers[[#Totals],[Maximale Subsidie Totaal - HTSM]]&gt;=Table_LuT_Deelnemers[[#Totals],[Gevraagde Subsidie Totaal]],FALSE)</f>
        <v>1</v>
      </c>
      <c r="AY11" s="3" t="b" cm="1">
        <f t="array" aca="1" ref="AY11" ca="1">OR(NOT(Table_LuT_Deelnemers[[#This Row],[DN niet leeg?]]),Var_Sub.instr.="MKB",Table_LuT_Deelnemers[[#This Row],[Type Organisatie]]="Onderzoeksorganisatie",Table_LuT_Deelnemers[[#This Row],[Gevraagde Subsidie Totaal]]=0)</f>
        <v>1</v>
      </c>
      <c r="AZ11" s="3" t="b" cm="1">
        <f t="array" aca="1" ref="AZ11"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11" s="3" t="b" cm="1">
        <f t="array" aca="1" ref="BA11" ca="1">IFERROR(AND(ABS((Table_LuT_Deelnemers[Kosten Totaal])-(Table_LuT_Deelnemers[Financiering Totaal]))&lt;1),FALSE)</f>
        <v>1</v>
      </c>
      <c r="BB11" s="3" t="b">
        <f ca="1">IFERROR(ABS(Table_LuT_Deelnemers[[#Totals],[Financiering Totaal]]-Table_LuT_Deelnemers[[#Totals],[Kosten Totaal]])&lt;1,FALSE)</f>
        <v>1</v>
      </c>
      <c r="BC11" s="3" t="b" cm="1">
        <f t="array" aca="1" ref="BC11" ca="1">OR(Var_Sub.instr.&lt;&gt;"MKB",AND(Table_LuT_Deelnemers[Kosten FO]=0,Table_LuT_Deelnemers[Kosten EO]=0))</f>
        <v>1</v>
      </c>
      <c r="BD11" s="3" t="b" cm="1">
        <f t="array" ref="BD11">IF(Var_Sub.instr.="MKB",AND(Table_LuT_Deelnemers[Verhouding SUM kosten OOs / SUM kosten MKBs is OK?]),TRUE)</f>
        <v>1</v>
      </c>
      <c r="BE11" s="3" t="b" cm="1">
        <f t="array" ref="BE11">IF(Var_Sub.instr.="MKB",AND(Table_LuT_Deelnemers[SUM Maximale Subsidie MKBs &lt;= € 300,000, als MKB-call],Table_LuT_Deelnemers[SUM Maximale Subsidie OOs &lt;= € 150,000, als MKB-call]),TRUE)</f>
        <v>1</v>
      </c>
      <c r="BF11" s="3" t="b" cm="1">
        <f t="array" aca="1" ref="BF11" ca="1">AND(( (Table_LuT_Deelnemers[Naam Organisatie]&lt;&gt;"") + ((Table_LuT_Deelnemers[Cash Bijdrage]=0) * (Table_LuT_Deelnemers[Financiering Totaal]=0)) ))</f>
        <v>1</v>
      </c>
      <c r="BG11" s="3" t="b" cm="1">
        <f t="array" aca="1" ref="BG11" ca="1">IFERROR(AND((Table_LuT_Deelnemers[[Cash Bijdrage]:[Gevraagde Subsidie EO]]="") + (ISNUMBER(Table_LuT_Deelnemers[[Cash Bijdrage]:[Gevraagde Subsidie EO]]) * (Table_LuT_Deelnemers[[Cash Bijdrage]:[Gevraagde Subsidie EO]]&gt;=0) * (MOD(Table_LuT_Deelnemers[[Cash Bijdrage]:[Gevraagde Subsidie EO]],1)=0))),FALSE)</f>
        <v>1</v>
      </c>
      <c r="BH11" s="246" t="b">
        <f t="shared" si="4"/>
        <v>0</v>
      </c>
      <c r="BI11" s="19" t="b">
        <f ca="1">AND(Table_LuT_Deelnemers[[#This Row],[Check 005]:[Check 990]])</f>
        <v>0</v>
      </c>
      <c r="BJ11" s="11">
        <f>SUMIFS(Table_LuT_Deelnemers[Kosten Totaal],Table_LuT_Deelnemers[Is MKB?],TRUE)</f>
        <v>0</v>
      </c>
      <c r="BK11" s="11">
        <f>SUMIFS(Table_LuT_Deelnemers[Kosten Totaal],Table_LuT_Deelnemers[Is OO?],TRUE)</f>
        <v>0</v>
      </c>
      <c r="BL11" s="243" t="b" cm="1">
        <f t="array" ref="BL11">IF(Var_Sub.instr.="MKB",IF(Table_LuT_Deelnemers[[#This Row],[SUM Kosten MKBs]]=0,FALSE,Table_LuT_Deelnemers[[#This Row],[SUM Kosten OOs]]/Table_LuT_Deelnemers[[#This Row],[SUM Kosten MKBs]]&lt;=0.5),TRUE)</f>
        <v>1</v>
      </c>
      <c r="BM11" s="8" cm="1">
        <f t="array" aca="1" ref="BM11" ca="1">INDIRECT("Kst_FO_"&amp;Table_LuT_Deelnemers[[#This Row],[Verkorte Referentienaam Deelnemer]])</f>
        <v>0</v>
      </c>
      <c r="BN11" s="8" cm="1">
        <f t="array" aca="1" ref="BN11" ca="1">INDIRECT("Kst_IO_"&amp;Table_LuT_Deelnemers[[#This Row],[Verkorte Referentienaam Deelnemer]])</f>
        <v>0</v>
      </c>
      <c r="BO11" s="8" cm="1">
        <f t="array" aca="1" ref="BO11" ca="1">INDIRECT("Kst_EO_"&amp;Table_LuT_Deelnemers[[#This Row],[Verkorte Referentienaam Deelnemer]])</f>
        <v>0</v>
      </c>
      <c r="BP11" s="8" cm="1">
        <f t="array" aca="1" ref="BP11" ca="1">INDIRECT("Kst_Tot_"&amp;Table_LuT_Deelnemers[[#This Row],[Verkorte Referentienaam Deelnemer]])</f>
        <v>0</v>
      </c>
      <c r="BQ11" s="330" cm="1">
        <f t="array" aca="1" ref="BQ11" ca="1">INDIRECT("'"&amp;A11&amp;"'!Kosten_Apparatuur")</f>
        <v>0</v>
      </c>
      <c r="BR11" s="8" cm="1">
        <f t="array" aca="1" ref="BR11" ca="1">INDIRECT("Max_Sub_FO_"&amp;Table_LuT_Deelnemers[[#This Row],[Verkorte Referentienaam Deelnemer]])</f>
        <v>0</v>
      </c>
      <c r="BS11" s="8" cm="1">
        <f t="array" aca="1" ref="BS11" ca="1">INDIRECT("Max_Sub_IO_"&amp;Table_LuT_Deelnemers[[#This Row],[Verkorte Referentienaam Deelnemer]])</f>
        <v>0</v>
      </c>
      <c r="BT11" s="8" cm="1">
        <f t="array" aca="1" ref="BT11" ca="1">INDIRECT("Max_Sub_EO_"&amp;Table_LuT_Deelnemers[[#This Row],[Verkorte Referentienaam Deelnemer]])</f>
        <v>0</v>
      </c>
      <c r="BU11" s="328" cm="1">
        <f t="array" aca="1" ref="BU11" ca="1">INDIRECT("Max_Sub_"&amp;Table_LuT_Deelnemers[[#This Row],[Verkorte Referentienaam Deelnemer]])</f>
        <v>0</v>
      </c>
      <c r="BV11" s="190" cm="1">
        <f t="array" aca="1" ref="BV11" ca="1">INDIRECT("Cash_"&amp;Table_LuT_Deelnemers[[#This Row],[Verkorte Referentienaam Deelnemer]])</f>
        <v>0</v>
      </c>
      <c r="BW11" s="8" cm="1">
        <f t="array" aca="1" ref="BW11" ca="1">INDIRECT("Cash_Ontvangen_"&amp;Table_LuT_Deelnemers[[#This Row],[Verkorte Referentienaam Deelnemer]])</f>
        <v>0</v>
      </c>
      <c r="BX11" s="8" cm="1">
        <f t="array" aca="1" ref="BX11" ca="1">INDIRECT("In_kind_"&amp;Table_LuT_Deelnemers[[#This Row],[Verkorte Referentienaam Deelnemer]])</f>
        <v>0</v>
      </c>
      <c r="BY11" s="8" cm="1">
        <f t="array" aca="1" ref="BY11" ca="1">INDIRECT("Overige_Subsidies_"&amp;Table_LuT_Deelnemers[[#This Row],[Verkorte Referentienaam Deelnemer]])</f>
        <v>0</v>
      </c>
      <c r="BZ11" s="190" cm="1">
        <f t="array" aca="1" ref="BZ11" ca="1">INDIRECT("Subsidie_FO_"&amp;Table_LuT_Deelnemers[[#This Row],[Verkorte Referentienaam Deelnemer]])</f>
        <v>0</v>
      </c>
      <c r="CA11" s="190" cm="1">
        <f t="array" aca="1" ref="CA11" ca="1">INDIRECT("Subsidie_IO_"&amp;Table_LuT_Deelnemers[[#This Row],[Verkorte Referentienaam Deelnemer]])</f>
        <v>0</v>
      </c>
      <c r="CB11" s="190" cm="1">
        <f t="array" aca="1" ref="CB11" ca="1">INDIRECT("Subsidie_EO_"&amp;Table_LuT_Deelnemers[[#This Row],[Verkorte Referentienaam Deelnemer]])</f>
        <v>0</v>
      </c>
      <c r="CC11" s="8" cm="1">
        <f t="array" aca="1" ref="CC11" ca="1">INDIRECT("Subsidie_"&amp;Table_LuT_Deelnemers[[#This Row],[Verkorte Referentienaam Deelnemer]])</f>
        <v>0</v>
      </c>
      <c r="CD11" s="254" cm="1">
        <f t="array" aca="1" ref="CD11" ca="1">INDIRECT("Fin_Tot_"&amp;Table_LuT_Deelnemers[[#This Row],[Verkorte Referentienaam Deelnemer]])</f>
        <v>0</v>
      </c>
      <c r="CE11" s="8">
        <f ca="1">_xlfn.LET(_xlpm.Var_Delta,Table_LuT_Deelnemers[[#This Row],[Gevraagde Subsidie FO]]-Table_LuT_Deelnemers[[#This Row],[Maximale Subsidie FO - HTSM^overheid]],IF(_xlpm.Var_Delta&gt;0,_xlpm.Var_Delta,0))</f>
        <v>0</v>
      </c>
      <c r="CF11" s="8">
        <f ca="1">_xlfn.LET(_xlpm.Var_Delta,Table_LuT_Deelnemers[[#This Row],[Gevraagde Subsidie IO]]-Table_LuT_Deelnemers[[#This Row],[Maximale Subsidie IO - HTSM^overheid]],IF(_xlpm.Var_Delta&gt;0,_xlpm.Var_Delta,0))</f>
        <v>0</v>
      </c>
      <c r="CG11" s="8">
        <f ca="1">_xlfn.LET(_xlpm.Var_Delta,Table_LuT_Deelnemers[[#This Row],[Gevraagde Subsidie EO]]-Table_LuT_Deelnemers[[#This Row],[Maximale Subsidie EO - HTSM^overheid]],IF(_xlpm.Var_Delta&gt;0,_xlpm.Var_Delta,0))</f>
        <v>0</v>
      </c>
      <c r="CH11" s="8">
        <f ca="1">_xlfn.LET(_xlpm.Var_Delta,Table_LuT_Deelnemers[[#This Row],[Gevraagde Subsidie Totaal]]-Table_LuT_Deelnemers[[#This Row],[Maximale Subsidie Totaal - HTSM^overheid]],IF(_xlpm.Var_Delta&gt;0,_xlpm.Var_Delta,0))</f>
        <v>0</v>
      </c>
      <c r="CI11" s="11">
        <f>SUMIFS(Table_LuT_Deelnemers[Gevraagde Subsidie Totaal],Table_LuT_Deelnemers[Is MKB?],TRUE)</f>
        <v>0</v>
      </c>
      <c r="CJ11" s="11">
        <f>SUMIFS(Table_LuT_Deelnemers[Gevraagde Subsidie Totaal],Table_LuT_Deelnemers[Is OO?],TRUE)</f>
        <v>0</v>
      </c>
      <c r="CK11" s="11" t="b" cm="1">
        <f t="array" ref="CK11">IF(Var_Sub.instr.="MKB",Table_LuT_Deelnemers[[#This Row],[SUM Gevraagde Subsidie MKBs]]&lt;=Var_MaxSub_MKB_call_MKB,TRUE)</f>
        <v>1</v>
      </c>
      <c r="CL11" s="243" t="b" cm="1">
        <f t="array" ref="CL11">IF(Var_Sub.instr.="MKB",Table_LuT_Deelnemers[[#This Row],[SUM Gevraagde Subsidie OOs]]&lt;=Var_MaxSub_MKB_call_OO,TRUE)</f>
        <v>1</v>
      </c>
      <c r="CM11" s="8">
        <f ca="1">SUMIFS(Table_LuT_Begroting_Deelnemers[Maximale Subsidie - overheid],Table_LuT_Begroting_Deelnemers[Verkorte Referentienaam Deelnemer],Table_LuT_Deelnemers[[#This Row],[Verkorte Referentienaam Deelnemer]],Table_LuT_Begroting_Deelnemers[FO | IO | EO],"FO")</f>
        <v>0</v>
      </c>
      <c r="CN11" s="8">
        <f ca="1">SUMIFS(Table_LuT_Begroting_Deelnemers[Maximale Subsidie - overheid],Table_LuT_Begroting_Deelnemers[Verkorte Referentienaam Deelnemer],Table_LuT_Deelnemers[[#This Row],[Verkorte Referentienaam Deelnemer]],Table_LuT_Begroting_Deelnemers[FO | IO | EO],"IO")</f>
        <v>0</v>
      </c>
      <c r="CO11" s="8">
        <f ca="1">SUMIFS(Table_LuT_Begroting_Deelnemers[Maximale Subsidie - overheid],Table_LuT_Begroting_Deelnemers[Verkorte Referentienaam Deelnemer],Table_LuT_Deelnemers[[#This Row],[Verkorte Referentienaam Deelnemer]],Table_LuT_Begroting_Deelnemers[FO | IO | EO],"EO")</f>
        <v>0</v>
      </c>
      <c r="CP11" s="328">
        <f ca="1">SUMIFS(Table_LuT_Begroting_Deelnemers[Maximale Subsidie - overheid],Table_LuT_Begroting_Deelnemers[Verkorte Referentienaam Deelnemer],Table_LuT_Deelnemers[[#This Row],[Verkorte Referentienaam Deelnemer]])</f>
        <v>0</v>
      </c>
      <c r="CQ11" s="8">
        <f ca="1">IF(Table_LuT_Deelnemers[[#This Row],[Is OO?]],Table_LuT_Deelnemers[[#This Row],[Maximale Subsidie FO - overheid]],Table_LuT_Deelnemers[[#This Row],[Maximale Subsidie FO - HTSM]])</f>
        <v>0</v>
      </c>
      <c r="CR11" s="8">
        <f ca="1">IF(Table_LuT_Deelnemers[[#This Row],[Is OO?]],Table_LuT_Deelnemers[[#This Row],[Maximale Subsidie IO - overheid]],Table_LuT_Deelnemers[[#This Row],[Maximale Subsidie IO - HTSM]])</f>
        <v>0</v>
      </c>
      <c r="CS11" s="8">
        <f ca="1">IF(Table_LuT_Deelnemers[[#This Row],[Is OO?]],Table_LuT_Deelnemers[[#This Row],[Maximale Subsidie EO - overheid]],Table_LuT_Deelnemers[[#This Row],[Maximale Subsidie EO - HTSM]])</f>
        <v>0</v>
      </c>
      <c r="CT11" s="328">
        <f ca="1">IF(Table_LuT_Deelnemers[[#This Row],[Is OO?]],Table_LuT_Deelnemers[[#This Row],[Maximale Subsidie Totaal - overheid]],Table_LuT_Deelnemers[[#This Row],[Maximale Subsidie Totaal - HTSM]])</f>
        <v>0</v>
      </c>
      <c r="CU11" s="11">
        <f>SUMIFS(Table_LuT_Deelnemers[Gevraagde Subsidie Totaal],Table_LuT_Deelnemers[Is OO?],TRUE)</f>
        <v>0</v>
      </c>
      <c r="CV11" s="11">
        <f ca="1">SUMIFS(Table_LuT_Begroting_Deelnemers[Maximale Subsidie OO - overheid],Table_LuT_Begroting_Deelnemers[Is OO?],TRUE)</f>
        <v>0</v>
      </c>
      <c r="CW11" s="11">
        <f ca="1">SUMIFS(Table_LuT_Begroting_Deelnemers[Maximale Subsidie OO - HTSM],Table_LuT_Begroting_Deelnemers[Is OO?],TRUE)</f>
        <v>0</v>
      </c>
      <c r="CX11" s="11">
        <f ca="1">SUMIFS(Table_LuT_Begroting_Deelnemers[Maximale Subsidie MKB - HTSM],Table_LuT_Begroting_Deelnemers[Is MKB?],TRUE)</f>
        <v>0</v>
      </c>
      <c r="CY11" s="11">
        <f ca="1">Table_LuT_Deelnemers[[#This Row],[SUM Maximale Subsidie - OO - HTSM]]+Table_LuT_Deelnemers[[#This Row],[SUM Maximale Subsidie - MKB - HTSM]]</f>
        <v>0</v>
      </c>
      <c r="CZ11" s="11">
        <f ca="1">MIN(Table_LuT_Deelnemers[[#This Row],[SUM  Maximale Subsidie - OO - overheid]],Table_LuT_Deelnemers[[#This Row],[SUM Maximale Subsidie - OO+MKB - HTSM]])</f>
        <v>0</v>
      </c>
    </row>
    <row r="12" spans="1:104" ht="15" customHeight="1" x14ac:dyDescent="0.25">
      <c r="A12" s="2" t="s">
        <v>189</v>
      </c>
      <c r="B12" s="2" t="s">
        <v>199</v>
      </c>
      <c r="C12" s="2" t="s">
        <v>209</v>
      </c>
      <c r="D12" s="3" t="str">
        <f>Table_LuT_Deelnemers[[#This Row],[ID Deelnemer]]</f>
        <v>Deelnemer 11</v>
      </c>
      <c r="E12" s="3" t="str" cm="1">
        <f t="array" ref="E12">IF(NOT(Table_LuT_Deelnemers[[#This Row],[DN niet leeg?]]),"",_xlfn.XLOOKUP(Table_LuT_Deelnemers[[#This Row],[ID Deelnemer]],INDEX(Range_Deelnemer_Nrs,,1),INDEX(Range_Deelnemer_Nrs,,2),"",0,1))</f>
        <v/>
      </c>
      <c r="F12" s="3" t="str" cm="1">
        <f t="array" ref="F12">IF(NOT(Table_LuT_Deelnemers[[#This Row],[Type Organisatie niet leeg?]]),"",_xlfn.XLOOKUP(Table_LuT_Deelnemers[[#This Row],[ID Deelnemer]],INDEX(Range_Deelnemer_Nrs,,1),INDEX(Range_Deelnemer_Nrs,,3),"",0,1))</f>
        <v/>
      </c>
      <c r="G12" s="3" t="str" cm="1">
        <f t="array" ref="G12">IF(NOT(Table_LuT_Deelnemers[[#This Row],[Type Organisatie niet leeg?]]),"",_xlfn.XLOOKUP(Table_LuT_Deelnemers[[#This Row],[Type Organisatie]],ValList_Type_Organisatie,Table_Val_List_Type_Org[TO]))</f>
        <v/>
      </c>
      <c r="H12" s="3" t="str" cm="1">
        <f t="array" ref="H12">IF(NOT(Table_LuT_Deelnemers[[#This Row],[KVK niet leeg?]]),"",_xlfn.XLOOKUP(Table_LuT_Deelnemers[[#This Row],[ID Deelnemer]],INDEX(Range_Deelnemer_Nrs,,1),INDEX(Range_Deelnemer_Nrs,,4),"",0,1))</f>
        <v/>
      </c>
      <c r="I12" s="3" t="str" cm="1">
        <f t="array" ref="I12">IF(NOT(Table_LuT_Deelnemers[[#This Row],[DN niet leeg?]]),"",IF(NOT(Table_LuT_Deelnemers[[#This Row],[Is Buitenlandse Organisatie]]),"",_xlfn.XLOOKUP(Table_LuT_Deelnemers[[#This Row],[ID Deelnemer]],INDEX(Range_Deelnemer_Nrs,,1),INDEX(Range_Deelnemer_Nrs,,5),"",0,1)))</f>
        <v/>
      </c>
      <c r="J12" s="3" t="str" cm="1">
        <f t="array" ref="J12">IF(NOT(Table_LuT_Deelnemers[[#This Row],[DN niet leeg?]]),"",_xlfn.XLOOKUP(Table_LuT_Deelnemers[[#This Row],[ID Deelnemer]],INDEX(Range_Deelnemer_Nrs,,1),INDEX(Range_Deelnemer_Nrs,,6),"",0,1)&lt;&gt;"nee")</f>
        <v/>
      </c>
      <c r="K12" s="3" t="str" cm="1">
        <f t="array" ref="K12">IF(NOT(Table_LuT_Deelnemers[[#This Row],[DN niet leeg?]]),"",_xlfn.LET(_xlpm.website,_xlfn.XLOOKUP(Table_LuT_Deelnemers[[#This Row],[ID Deelnemer]],INDEX(Range_Deelnemer_Nrs,,1),INDEX(Range_Deelnemer_Nrs,,7),"",0,1),IF(_xlpm.website=0,"",_xlpm.website)))</f>
        <v/>
      </c>
      <c r="L12" s="19" t="str" cm="1">
        <f t="array" aca="1" ref="L12" ca="1">IF(INDIRECT("'"&amp;Table_LuT_Deelnemers[[#This Row],[Naam Sheet]]&amp;"'!Kostensystematiek")="[Maak een keuze]","",INDIRECT("'"&amp;Table_LuT_Deelnemers[[#This Row],[Naam Sheet]]&amp;"'!Kostensystematiek"))</f>
        <v/>
      </c>
      <c r="M12" s="3" t="b">
        <f>Table_LuT_Deelnemers[[#This Row],[Type Organisatie]]="MKB"</f>
        <v>0</v>
      </c>
      <c r="N12" s="3" t="b">
        <f>Table_LuT_Deelnemers[[#This Row],[Type Organisatie]]="Onderzoeksorganisatie"</f>
        <v>0</v>
      </c>
      <c r="O12" s="3" t="b">
        <f>Table_LuT_Deelnemers[[#This Row],[Type Organisatie]]="Grootbedrijf"</f>
        <v>0</v>
      </c>
      <c r="P12" s="19" t="b">
        <f>Table_LuT_Deelnemers[[#This Row],[Verkorte Referentienaam Deelnemer]]="DN1"</f>
        <v>0</v>
      </c>
      <c r="Q12" s="3" t="b">
        <f t="shared" si="0"/>
        <v>0</v>
      </c>
      <c r="R12" s="3" t="b">
        <f t="shared" si="1"/>
        <v>0</v>
      </c>
      <c r="S12" s="3" t="b" cm="1">
        <f t="array" ref="S12">NOT(ISBLANK(_xlfn.XLOOKUP(Table_LuT_Deelnemers[[#This Row],[ID Deelnemer]],INDEX(Range_Deelnemer_Nrs,,1),INDEX(Range_Deelnemer_Nrs,,2),"",0,1)))</f>
        <v>0</v>
      </c>
      <c r="T12" s="3" t="b" cm="1">
        <f t="array" ref="T12">_xlfn.XLOOKUP(Table_LuT_Deelnemers[[#This Row],[ID Deelnemer]],INDEX(Range_Deelnemer_Nrs,,1),INDEX(Range_Deelnemer_Nrs,,3),"",0,1)&lt;&gt;"[Maak een keuze]"</f>
        <v>0</v>
      </c>
      <c r="U12" s="3" t="b" cm="1">
        <f t="array" ref="U12">NOT(ISBLANK(_xlfn.XLOOKUP(Table_LuT_Deelnemers[[#This Row],[ID Deelnemer]],INDEX(Range_Deelnemer_Nrs,,1),INDEX(Range_Deelnemer_Nrs,,4),"",0,1)))</f>
        <v>0</v>
      </c>
      <c r="V12" s="3" t="b" cm="1">
        <f t="array" ref="V12">NOT(ISBLANK(_xlfn.XLOOKUP(Table_LuT_Deelnemers[[#This Row],[ID Deelnemer]],INDEX(Range_Deelnemer_Nrs,,1),INDEX(Range_Deelnemer_Nrs,,5),"",0,1)))</f>
        <v>0</v>
      </c>
      <c r="W12" s="19" t="b" cm="1">
        <f t="array" aca="1" ref="W12" ca="1">INDIRECT("'"&amp;Table_LuT_Deelnemers[[#This Row],[Naam Sheet]]&amp;"'!Kostensystematiek")&lt;&gt;"[Maak een keuze]"</f>
        <v>0</v>
      </c>
      <c r="X12" s="248" t="b">
        <f>OR(NOT(Table_LuT_Deelnemers[[#This Row],[DN niet leeg?]]),Table_LuT_Deelnemers[[#This Row],[Is OO?]],NOT(Table_LuT_Deelnemers[[#This Row],[Is GB?]]))</f>
        <v>1</v>
      </c>
      <c r="Y12" s="3" t="b">
        <f>OR(Table_LuT_Deelnemers[[#This Row],[Verkorte Referentienaam Deelnemer]]&lt;&gt;"DN1",NOT(Table_LuT_Deelnemers[[#This Row],[Penvoerder niet leeg?]]),AND(Subsidie_instrument&lt;&gt;"[Maak een keuze]",NOT(ISBLANK(Projecttitel)),NOT(ISBLANK(Projectacroniem))))</f>
        <v>1</v>
      </c>
      <c r="Z12" s="3" t="b">
        <f t="shared" si="2"/>
        <v>1</v>
      </c>
      <c r="AA12" s="3" t="b">
        <f t="shared" si="3"/>
        <v>1</v>
      </c>
      <c r="AB12" s="3" t="b">
        <f>OR(Table_LuT_Deelnemers[[#This Row],[Verkorte Referentienaam Deelnemer]]&lt;&gt;"DN1",Table_LuT_Deelnemers[[#This Row],[Penvoerder niet leeg?]],NOT(Table_LuT_Deelnemers[[#This Row],[DN2 niet leeg?]]))</f>
        <v>1</v>
      </c>
      <c r="AC12" s="3" t="b">
        <f>OR(Table_LuT_Deelnemers[[#This Row],[Verkorte Referentienaam Deelnemer]]&lt;&gt;"DN2",NOT(_xlfn.XOR(Table_LuT_Deelnemers[[#This Row],[Penvoerder niet leeg?]],Table_LuT_Deelnemers[[#This Row],[DN2 niet leeg?]])))</f>
        <v>1</v>
      </c>
      <c r="AD12" s="3" t="b">
        <f>OR(Table_LuT_Deelnemers[[#This Row],[Verkorte Referentienaam Deelnemer]]="DN1",NOT(Table_LuT_Deelnemers[[#This Row],[DN niet leeg?]]),AND(S$2:S11))</f>
        <v>1</v>
      </c>
      <c r="AE12"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12" s="3" t="b">
        <f>OR(NOT(Table_LuT_Deelnemers[[#This Row],[DN niet leeg?]]),NOT(Table_LuT_Deelnemers[[#This Row],[DN2 niet leeg?]]),OR(Table_LuT_Deelnemers[Is OO?]))</f>
        <v>1</v>
      </c>
      <c r="AG12" s="3" t="b">
        <f>OR(Table_LuT_Deelnemers[[#This Row],[Verkorte Referentienaam Deelnemer]]="DN1",NOT(_xlfn.XOR(Table_LuT_Deelnemers[[#This Row],[DN niet leeg?]],Table_LuT_Deelnemers[[#This Row],[Type Organisatie niet leeg?]])))</f>
        <v>1</v>
      </c>
      <c r="AH12" s="3" t="b">
        <f>OR(Table_LuT_Deelnemers[[#This Row],[Verkorte Referentienaam Deelnemer]]&lt;&gt;"DN1",NOT(Table_LuT_Deelnemers[[#This Row],[Penvoerder niet leeg?]]),NOT(Table_LuT_Deelnemers[[#This Row],[Is Buitenlandse Organisatie]]))</f>
        <v>1</v>
      </c>
      <c r="AI12" s="3" t="b">
        <f>OR(NOT(Table_LuT_Deelnemers[[#This Row],[DN niet leeg?]]),Table_LuT_Deelnemers[[#This Row],[Is Buitenlandse Organisatie]],Table_LuT_Deelnemers[[#This Row],[KVK niet leeg?]])</f>
        <v>1</v>
      </c>
      <c r="AJ12" s="3" t="b">
        <f>OR(NOT(Table_LuT_Deelnemers[[#This Row],[DN niet leeg?]]),Table_LuT_Deelnemers[[#This Row],[Is Buitenlandse Organisatie]],AND(Table_LuT_Deelnemers[[#This Row],[KVK niet leeg?]],LEN(Table_LuT_Deelnemers[[#This Row],[KVK-nummer]])&lt;=8))</f>
        <v>1</v>
      </c>
      <c r="AK12" s="3" t="b">
        <f>OR(NOT(Table_LuT_Deelnemers[[#This Row],[DN niet leeg?]]),NOT(Table_LuT_Deelnemers[[#This Row],[Is Buitenlandse Organisatie]]),NOT(Table_LuT_Deelnemers[[#This Row],[KVK niet leeg?]]))</f>
        <v>1</v>
      </c>
      <c r="AL12" s="3" t="b">
        <f ca="1">OR(NOT(Table_LuT_Deelnemers[[#This Row],[DN niet leeg?]]),Table_LuT_Deelnemers[[#This Row],[Kostensystematiek niet leeg?]])</f>
        <v>1</v>
      </c>
      <c r="AM12" s="3" t="b" cm="1">
        <f t="array" aca="1" ref="AM12" ca="1">INDIRECT("'"&amp;Table_LuT_Deelnemers[[#This Row],[ID Deelnemer]]&amp;"'!Check_Vaste_uurtarief")</f>
        <v>1</v>
      </c>
      <c r="AN12" s="3" t="b" cm="1">
        <f t="array" ref="AN12">OR(NOT(Table_LuT_Deelnemers[[#This Row],[Is Penvoerder?]]),NOT(Table_LuT_Deelnemers[[#This Row],[DN niet leeg?]]),AND(OR(Var_Sub.instr.="MKB",Table_LuT_Deelnemers[[#This Row],[Is OO?]]),OR(Var_Sub.instr.&lt;&gt;"MKB",Table_LuT_Deelnemers[[#This Row],[Is MKB?]])))</f>
        <v>1</v>
      </c>
      <c r="AO12" s="3" t="b" cm="1">
        <f t="array" ref="AO12">OR(NOT(Table_LuT_Deelnemers[[#This Row],[DN niet leeg?]]),Var_Sub.instr.&lt;&gt;"MKB",Table_LuT_Deelnemers[[#This Row],[Is OO?]],Table_LuT_Deelnemers[[#This Row],[Is MKB?]])</f>
        <v>1</v>
      </c>
      <c r="AP12" s="3" t="b" cm="1">
        <f t="array" aca="1" ref="AP12" ca="1">IFERROR(Minimale_Cash_CoF&lt;=SUMIFS(Table_LuT_Deelnemers[Cash Bijdrage],Table_LuT_Deelnemers[Type Organisatie],"&lt;&gt;Onderzoeksorganisatie"),FALSE)</f>
        <v>1</v>
      </c>
      <c r="AQ12" s="3" t="b" cm="1">
        <f t="array" aca="1" ref="AQ12" ca="1">IFERROR(Minimale_Cash_CoF&lt;=SUMIFS(Table_LuT_Deelnemers[Cash Ontvangen],Table_LuT_Deelnemers[Type Organisatie],"Onderzoeksorganisatie"),FALSE)</f>
        <v>1</v>
      </c>
      <c r="AR12" s="3" t="b" cm="1">
        <f t="array" aca="1" ref="AR12" ca="1">AND(((Table_LuT_Deelnemers[Cash Bijdrage])=0) + ((Table_LuT_Deelnemers[Cash Ontvangen])=0))</f>
        <v>1</v>
      </c>
      <c r="AS12" s="3" t="b">
        <f ca="1">IFERROR(ABS(Table_LuT_Deelnemers[[#Totals],[Cash Bijdrage]]-Table_LuT_Deelnemers[[#Totals],[Cash Ontvangen]])&lt;1,FALSE)</f>
        <v>1</v>
      </c>
      <c r="AT12" s="3" t="b">
        <f ca="1">IFERROR(Table_LuT_Deelnemers[[#This Row],[Maximale Subsidie FO - HTSM^overheid]]&gt;=Table_LuT_Deelnemers[[#This Row],[Gevraagde Subsidie FO]],FALSE)</f>
        <v>1</v>
      </c>
      <c r="AU12" s="3" t="b">
        <f ca="1">IFERROR(Table_LuT_Deelnemers[[#This Row],[Maximale Subsidie IO - HTSM^overheid]]&gt;=Table_LuT_Deelnemers[[#This Row],[Gevraagde Subsidie IO]],FALSE)</f>
        <v>1</v>
      </c>
      <c r="AV12" s="3" t="b">
        <f ca="1">IFERROR(Table_LuT_Deelnemers[[#This Row],[Maximale Subsidie EO - HTSM^overheid]]&gt;=Table_LuT_Deelnemers[[#This Row],[Gevraagde Subsidie EO]],FALSE)</f>
        <v>1</v>
      </c>
      <c r="AW12" s="3" t="b" cm="1">
        <f t="array" aca="1" ref="AW12"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12" s="3" t="b">
        <f ca="1">IFERROR(Table_LuT_Deelnemers[[#Totals],[Maximale Subsidie Totaal - HTSM]]&gt;=Table_LuT_Deelnemers[[#Totals],[Gevraagde Subsidie Totaal]],FALSE)</f>
        <v>1</v>
      </c>
      <c r="AY12" s="3" t="b" cm="1">
        <f t="array" aca="1" ref="AY12" ca="1">OR(NOT(Table_LuT_Deelnemers[[#This Row],[DN niet leeg?]]),Var_Sub.instr.="MKB",Table_LuT_Deelnemers[[#This Row],[Type Organisatie]]="Onderzoeksorganisatie",Table_LuT_Deelnemers[[#This Row],[Gevraagde Subsidie Totaal]]=0)</f>
        <v>1</v>
      </c>
      <c r="AZ12" s="3" t="b" cm="1">
        <f t="array" aca="1" ref="AZ12"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12" s="3" t="b" cm="1">
        <f t="array" aca="1" ref="BA12" ca="1">IFERROR(AND(ABS((Table_LuT_Deelnemers[Kosten Totaal])-(Table_LuT_Deelnemers[Financiering Totaal]))&lt;1),FALSE)</f>
        <v>1</v>
      </c>
      <c r="BB12" s="3" t="b">
        <f ca="1">IFERROR(ABS(Table_LuT_Deelnemers[[#Totals],[Financiering Totaal]]-Table_LuT_Deelnemers[[#Totals],[Kosten Totaal]])&lt;1,FALSE)</f>
        <v>1</v>
      </c>
      <c r="BC12" s="3" t="b" cm="1">
        <f t="array" aca="1" ref="BC12" ca="1">OR(Var_Sub.instr.&lt;&gt;"MKB",AND(Table_LuT_Deelnemers[Kosten FO]=0,Table_LuT_Deelnemers[Kosten EO]=0))</f>
        <v>1</v>
      </c>
      <c r="BD12" s="3" t="b" cm="1">
        <f t="array" ref="BD12">IF(Var_Sub.instr.="MKB",AND(Table_LuT_Deelnemers[Verhouding SUM kosten OOs / SUM kosten MKBs is OK?]),TRUE)</f>
        <v>1</v>
      </c>
      <c r="BE12" s="3" t="b" cm="1">
        <f t="array" ref="BE12">IF(Var_Sub.instr.="MKB",AND(Table_LuT_Deelnemers[SUM Maximale Subsidie MKBs &lt;= € 300,000, als MKB-call],Table_LuT_Deelnemers[SUM Maximale Subsidie OOs &lt;= € 150,000, als MKB-call]),TRUE)</f>
        <v>1</v>
      </c>
      <c r="BF12" s="3" t="b" cm="1">
        <f t="array" aca="1" ref="BF12" ca="1">AND(( (Table_LuT_Deelnemers[Naam Organisatie]&lt;&gt;"") + ((Table_LuT_Deelnemers[Cash Bijdrage]=0) * (Table_LuT_Deelnemers[Financiering Totaal]=0)) ))</f>
        <v>1</v>
      </c>
      <c r="BG12" s="3" t="b" cm="1">
        <f t="array" aca="1" ref="BG12" ca="1">IFERROR(AND((Table_LuT_Deelnemers[[Cash Bijdrage]:[Gevraagde Subsidie EO]]="") + (ISNUMBER(Table_LuT_Deelnemers[[Cash Bijdrage]:[Gevraagde Subsidie EO]]) * (Table_LuT_Deelnemers[[Cash Bijdrage]:[Gevraagde Subsidie EO]]&gt;=0) * (MOD(Table_LuT_Deelnemers[[Cash Bijdrage]:[Gevraagde Subsidie EO]],1)=0))),FALSE)</f>
        <v>1</v>
      </c>
      <c r="BH12" s="246" t="b">
        <f t="shared" si="4"/>
        <v>0</v>
      </c>
      <c r="BI12" s="19" t="b">
        <f ca="1">AND(Table_LuT_Deelnemers[[#This Row],[Check 005]:[Check 990]])</f>
        <v>0</v>
      </c>
      <c r="BJ12" s="11">
        <f>SUMIFS(Table_LuT_Deelnemers[Kosten Totaal],Table_LuT_Deelnemers[Is MKB?],TRUE)</f>
        <v>0</v>
      </c>
      <c r="BK12" s="11">
        <f>SUMIFS(Table_LuT_Deelnemers[Kosten Totaal],Table_LuT_Deelnemers[Is OO?],TRUE)</f>
        <v>0</v>
      </c>
      <c r="BL12" s="243" t="b" cm="1">
        <f t="array" ref="BL12">IF(Var_Sub.instr.="MKB",IF(Table_LuT_Deelnemers[[#This Row],[SUM Kosten MKBs]]=0,FALSE,Table_LuT_Deelnemers[[#This Row],[SUM Kosten OOs]]/Table_LuT_Deelnemers[[#This Row],[SUM Kosten MKBs]]&lt;=0.5),TRUE)</f>
        <v>1</v>
      </c>
      <c r="BM12" s="8" cm="1">
        <f t="array" aca="1" ref="BM12" ca="1">INDIRECT("Kst_FO_"&amp;Table_LuT_Deelnemers[[#This Row],[Verkorte Referentienaam Deelnemer]])</f>
        <v>0</v>
      </c>
      <c r="BN12" s="8" cm="1">
        <f t="array" aca="1" ref="BN12" ca="1">INDIRECT("Kst_IO_"&amp;Table_LuT_Deelnemers[[#This Row],[Verkorte Referentienaam Deelnemer]])</f>
        <v>0</v>
      </c>
      <c r="BO12" s="8" cm="1">
        <f t="array" aca="1" ref="BO12" ca="1">INDIRECT("Kst_EO_"&amp;Table_LuT_Deelnemers[[#This Row],[Verkorte Referentienaam Deelnemer]])</f>
        <v>0</v>
      </c>
      <c r="BP12" s="8" cm="1">
        <f t="array" aca="1" ref="BP12" ca="1">INDIRECT("Kst_Tot_"&amp;Table_LuT_Deelnemers[[#This Row],[Verkorte Referentienaam Deelnemer]])</f>
        <v>0</v>
      </c>
      <c r="BQ12" s="330" cm="1">
        <f t="array" aca="1" ref="BQ12" ca="1">INDIRECT("'"&amp;A12&amp;"'!Kosten_Apparatuur")</f>
        <v>0</v>
      </c>
      <c r="BR12" s="8" cm="1">
        <f t="array" aca="1" ref="BR12" ca="1">INDIRECT("Max_Sub_FO_"&amp;Table_LuT_Deelnemers[[#This Row],[Verkorte Referentienaam Deelnemer]])</f>
        <v>0</v>
      </c>
      <c r="BS12" s="8" cm="1">
        <f t="array" aca="1" ref="BS12" ca="1">INDIRECT("Max_Sub_IO_"&amp;Table_LuT_Deelnemers[[#This Row],[Verkorte Referentienaam Deelnemer]])</f>
        <v>0</v>
      </c>
      <c r="BT12" s="8" cm="1">
        <f t="array" aca="1" ref="BT12" ca="1">INDIRECT("Max_Sub_EO_"&amp;Table_LuT_Deelnemers[[#This Row],[Verkorte Referentienaam Deelnemer]])</f>
        <v>0</v>
      </c>
      <c r="BU12" s="328" cm="1">
        <f t="array" aca="1" ref="BU12" ca="1">INDIRECT("Max_Sub_"&amp;Table_LuT_Deelnemers[[#This Row],[Verkorte Referentienaam Deelnemer]])</f>
        <v>0</v>
      </c>
      <c r="BV12" s="190" cm="1">
        <f t="array" aca="1" ref="BV12" ca="1">INDIRECT("Cash_"&amp;Table_LuT_Deelnemers[[#This Row],[Verkorte Referentienaam Deelnemer]])</f>
        <v>0</v>
      </c>
      <c r="BW12" s="8" cm="1">
        <f t="array" aca="1" ref="BW12" ca="1">INDIRECT("Cash_Ontvangen_"&amp;Table_LuT_Deelnemers[[#This Row],[Verkorte Referentienaam Deelnemer]])</f>
        <v>0</v>
      </c>
      <c r="BX12" s="8" cm="1">
        <f t="array" aca="1" ref="BX12" ca="1">INDIRECT("In_kind_"&amp;Table_LuT_Deelnemers[[#This Row],[Verkorte Referentienaam Deelnemer]])</f>
        <v>0</v>
      </c>
      <c r="BY12" s="8" cm="1">
        <f t="array" aca="1" ref="BY12" ca="1">INDIRECT("Overige_Subsidies_"&amp;Table_LuT_Deelnemers[[#This Row],[Verkorte Referentienaam Deelnemer]])</f>
        <v>0</v>
      </c>
      <c r="BZ12" s="190" cm="1">
        <f t="array" aca="1" ref="BZ12" ca="1">INDIRECT("Subsidie_FO_"&amp;Table_LuT_Deelnemers[[#This Row],[Verkorte Referentienaam Deelnemer]])</f>
        <v>0</v>
      </c>
      <c r="CA12" s="190" cm="1">
        <f t="array" aca="1" ref="CA12" ca="1">INDIRECT("Subsidie_IO_"&amp;Table_LuT_Deelnemers[[#This Row],[Verkorte Referentienaam Deelnemer]])</f>
        <v>0</v>
      </c>
      <c r="CB12" s="190" cm="1">
        <f t="array" aca="1" ref="CB12" ca="1">INDIRECT("Subsidie_EO_"&amp;Table_LuT_Deelnemers[[#This Row],[Verkorte Referentienaam Deelnemer]])</f>
        <v>0</v>
      </c>
      <c r="CC12" s="8" cm="1">
        <f t="array" aca="1" ref="CC12" ca="1">INDIRECT("Subsidie_"&amp;Table_LuT_Deelnemers[[#This Row],[Verkorte Referentienaam Deelnemer]])</f>
        <v>0</v>
      </c>
      <c r="CD12" s="254" cm="1">
        <f t="array" aca="1" ref="CD12" ca="1">INDIRECT("Fin_Tot_"&amp;Table_LuT_Deelnemers[[#This Row],[Verkorte Referentienaam Deelnemer]])</f>
        <v>0</v>
      </c>
      <c r="CE12" s="8">
        <f ca="1">_xlfn.LET(_xlpm.Var_Delta,Table_LuT_Deelnemers[[#This Row],[Gevraagde Subsidie FO]]-Table_LuT_Deelnemers[[#This Row],[Maximale Subsidie FO - HTSM^overheid]],IF(_xlpm.Var_Delta&gt;0,_xlpm.Var_Delta,0))</f>
        <v>0</v>
      </c>
      <c r="CF12" s="8">
        <f ca="1">_xlfn.LET(_xlpm.Var_Delta,Table_LuT_Deelnemers[[#This Row],[Gevraagde Subsidie IO]]-Table_LuT_Deelnemers[[#This Row],[Maximale Subsidie IO - HTSM^overheid]],IF(_xlpm.Var_Delta&gt;0,_xlpm.Var_Delta,0))</f>
        <v>0</v>
      </c>
      <c r="CG12" s="8">
        <f ca="1">_xlfn.LET(_xlpm.Var_Delta,Table_LuT_Deelnemers[[#This Row],[Gevraagde Subsidie EO]]-Table_LuT_Deelnemers[[#This Row],[Maximale Subsidie EO - HTSM^overheid]],IF(_xlpm.Var_Delta&gt;0,_xlpm.Var_Delta,0))</f>
        <v>0</v>
      </c>
      <c r="CH12" s="8">
        <f ca="1">_xlfn.LET(_xlpm.Var_Delta,Table_LuT_Deelnemers[[#This Row],[Gevraagde Subsidie Totaal]]-Table_LuT_Deelnemers[[#This Row],[Maximale Subsidie Totaal - HTSM^overheid]],IF(_xlpm.Var_Delta&gt;0,_xlpm.Var_Delta,0))</f>
        <v>0</v>
      </c>
      <c r="CI12" s="11">
        <f>SUMIFS(Table_LuT_Deelnemers[Gevraagde Subsidie Totaal],Table_LuT_Deelnemers[Is MKB?],TRUE)</f>
        <v>0</v>
      </c>
      <c r="CJ12" s="11">
        <f>SUMIFS(Table_LuT_Deelnemers[Gevraagde Subsidie Totaal],Table_LuT_Deelnemers[Is OO?],TRUE)</f>
        <v>0</v>
      </c>
      <c r="CK12" s="11" t="b" cm="1">
        <f t="array" ref="CK12">IF(Var_Sub.instr.="MKB",Table_LuT_Deelnemers[[#This Row],[SUM Gevraagde Subsidie MKBs]]&lt;=Var_MaxSub_MKB_call_MKB,TRUE)</f>
        <v>1</v>
      </c>
      <c r="CL12" s="243" t="b" cm="1">
        <f t="array" ref="CL12">IF(Var_Sub.instr.="MKB",Table_LuT_Deelnemers[[#This Row],[SUM Gevraagde Subsidie OOs]]&lt;=Var_MaxSub_MKB_call_OO,TRUE)</f>
        <v>1</v>
      </c>
      <c r="CM12" s="8">
        <f ca="1">SUMIFS(Table_LuT_Begroting_Deelnemers[Maximale Subsidie - overheid],Table_LuT_Begroting_Deelnemers[Verkorte Referentienaam Deelnemer],Table_LuT_Deelnemers[[#This Row],[Verkorte Referentienaam Deelnemer]],Table_LuT_Begroting_Deelnemers[FO | IO | EO],"FO")</f>
        <v>0</v>
      </c>
      <c r="CN12" s="8">
        <f ca="1">SUMIFS(Table_LuT_Begroting_Deelnemers[Maximale Subsidie - overheid],Table_LuT_Begroting_Deelnemers[Verkorte Referentienaam Deelnemer],Table_LuT_Deelnemers[[#This Row],[Verkorte Referentienaam Deelnemer]],Table_LuT_Begroting_Deelnemers[FO | IO | EO],"IO")</f>
        <v>0</v>
      </c>
      <c r="CO12" s="8">
        <f ca="1">SUMIFS(Table_LuT_Begroting_Deelnemers[Maximale Subsidie - overheid],Table_LuT_Begroting_Deelnemers[Verkorte Referentienaam Deelnemer],Table_LuT_Deelnemers[[#This Row],[Verkorte Referentienaam Deelnemer]],Table_LuT_Begroting_Deelnemers[FO | IO | EO],"EO")</f>
        <v>0</v>
      </c>
      <c r="CP12" s="328">
        <f ca="1">SUMIFS(Table_LuT_Begroting_Deelnemers[Maximale Subsidie - overheid],Table_LuT_Begroting_Deelnemers[Verkorte Referentienaam Deelnemer],Table_LuT_Deelnemers[[#This Row],[Verkorte Referentienaam Deelnemer]])</f>
        <v>0</v>
      </c>
      <c r="CQ12" s="8">
        <f ca="1">IF(Table_LuT_Deelnemers[[#This Row],[Is OO?]],Table_LuT_Deelnemers[[#This Row],[Maximale Subsidie FO - overheid]],Table_LuT_Deelnemers[[#This Row],[Maximale Subsidie FO - HTSM]])</f>
        <v>0</v>
      </c>
      <c r="CR12" s="8">
        <f ca="1">IF(Table_LuT_Deelnemers[[#This Row],[Is OO?]],Table_LuT_Deelnemers[[#This Row],[Maximale Subsidie IO - overheid]],Table_LuT_Deelnemers[[#This Row],[Maximale Subsidie IO - HTSM]])</f>
        <v>0</v>
      </c>
      <c r="CS12" s="8">
        <f ca="1">IF(Table_LuT_Deelnemers[[#This Row],[Is OO?]],Table_LuT_Deelnemers[[#This Row],[Maximale Subsidie EO - overheid]],Table_LuT_Deelnemers[[#This Row],[Maximale Subsidie EO - HTSM]])</f>
        <v>0</v>
      </c>
      <c r="CT12" s="328">
        <f ca="1">IF(Table_LuT_Deelnemers[[#This Row],[Is OO?]],Table_LuT_Deelnemers[[#This Row],[Maximale Subsidie Totaal - overheid]],Table_LuT_Deelnemers[[#This Row],[Maximale Subsidie Totaal - HTSM]])</f>
        <v>0</v>
      </c>
      <c r="CU12" s="11">
        <f>SUMIFS(Table_LuT_Deelnemers[Gevraagde Subsidie Totaal],Table_LuT_Deelnemers[Is OO?],TRUE)</f>
        <v>0</v>
      </c>
      <c r="CV12" s="11">
        <f ca="1">SUMIFS(Table_LuT_Begroting_Deelnemers[Maximale Subsidie OO - overheid],Table_LuT_Begroting_Deelnemers[Is OO?],TRUE)</f>
        <v>0</v>
      </c>
      <c r="CW12" s="11">
        <f ca="1">SUMIFS(Table_LuT_Begroting_Deelnemers[Maximale Subsidie OO - HTSM],Table_LuT_Begroting_Deelnemers[Is OO?],TRUE)</f>
        <v>0</v>
      </c>
      <c r="CX12" s="11">
        <f ca="1">SUMIFS(Table_LuT_Begroting_Deelnemers[Maximale Subsidie MKB - HTSM],Table_LuT_Begroting_Deelnemers[Is MKB?],TRUE)</f>
        <v>0</v>
      </c>
      <c r="CY12" s="11">
        <f ca="1">Table_LuT_Deelnemers[[#This Row],[SUM Maximale Subsidie - OO - HTSM]]+Table_LuT_Deelnemers[[#This Row],[SUM Maximale Subsidie - MKB - HTSM]]</f>
        <v>0</v>
      </c>
      <c r="CZ12" s="11">
        <f ca="1">MIN(Table_LuT_Deelnemers[[#This Row],[SUM  Maximale Subsidie - OO - overheid]],Table_LuT_Deelnemers[[#This Row],[SUM Maximale Subsidie - OO+MKB - HTSM]])</f>
        <v>0</v>
      </c>
    </row>
    <row r="13" spans="1:104" ht="15" customHeight="1" x14ac:dyDescent="0.25">
      <c r="A13" s="2" t="s">
        <v>190</v>
      </c>
      <c r="B13" s="2" t="s">
        <v>200</v>
      </c>
      <c r="C13" s="2" t="s">
        <v>210</v>
      </c>
      <c r="D13" s="3" t="str">
        <f>Table_LuT_Deelnemers[[#This Row],[ID Deelnemer]]</f>
        <v>Deelnemer 12</v>
      </c>
      <c r="E13" s="3" t="str" cm="1">
        <f t="array" ref="E13">IF(NOT(Table_LuT_Deelnemers[[#This Row],[DN niet leeg?]]),"",_xlfn.XLOOKUP(Table_LuT_Deelnemers[[#This Row],[ID Deelnemer]],INDEX(Range_Deelnemer_Nrs,,1),INDEX(Range_Deelnemer_Nrs,,2),"",0,1))</f>
        <v/>
      </c>
      <c r="F13" s="3" t="str" cm="1">
        <f t="array" ref="F13">IF(NOT(Table_LuT_Deelnemers[[#This Row],[Type Organisatie niet leeg?]]),"",_xlfn.XLOOKUP(Table_LuT_Deelnemers[[#This Row],[ID Deelnemer]],INDEX(Range_Deelnemer_Nrs,,1),INDEX(Range_Deelnemer_Nrs,,3),"",0,1))</f>
        <v/>
      </c>
      <c r="G13" s="3" t="str" cm="1">
        <f t="array" ref="G13">IF(NOT(Table_LuT_Deelnemers[[#This Row],[Type Organisatie niet leeg?]]),"",_xlfn.XLOOKUP(Table_LuT_Deelnemers[[#This Row],[Type Organisatie]],ValList_Type_Organisatie,Table_Val_List_Type_Org[TO]))</f>
        <v/>
      </c>
      <c r="H13" s="3" t="str" cm="1">
        <f t="array" ref="H13">IF(NOT(Table_LuT_Deelnemers[[#This Row],[KVK niet leeg?]]),"",_xlfn.XLOOKUP(Table_LuT_Deelnemers[[#This Row],[ID Deelnemer]],INDEX(Range_Deelnemer_Nrs,,1),INDEX(Range_Deelnemer_Nrs,,4),"",0,1))</f>
        <v/>
      </c>
      <c r="I13" s="3" t="str" cm="1">
        <f t="array" ref="I13">IF(NOT(Table_LuT_Deelnemers[[#This Row],[DN niet leeg?]]),"",IF(NOT(Table_LuT_Deelnemers[[#This Row],[Is Buitenlandse Organisatie]]),"",_xlfn.XLOOKUP(Table_LuT_Deelnemers[[#This Row],[ID Deelnemer]],INDEX(Range_Deelnemer_Nrs,,1),INDEX(Range_Deelnemer_Nrs,,5),"",0,1)))</f>
        <v/>
      </c>
      <c r="J13" s="3" t="str" cm="1">
        <f t="array" ref="J13">IF(NOT(Table_LuT_Deelnemers[[#This Row],[DN niet leeg?]]),"",_xlfn.XLOOKUP(Table_LuT_Deelnemers[[#This Row],[ID Deelnemer]],INDEX(Range_Deelnemer_Nrs,,1),INDEX(Range_Deelnemer_Nrs,,6),"",0,1)&lt;&gt;"nee")</f>
        <v/>
      </c>
      <c r="K13" s="3" t="str" cm="1">
        <f t="array" ref="K13">IF(NOT(Table_LuT_Deelnemers[[#This Row],[DN niet leeg?]]),"",_xlfn.LET(_xlpm.website,_xlfn.XLOOKUP(Table_LuT_Deelnemers[[#This Row],[ID Deelnemer]],INDEX(Range_Deelnemer_Nrs,,1),INDEX(Range_Deelnemer_Nrs,,7),"",0,1),IF(_xlpm.website=0,"",_xlpm.website)))</f>
        <v/>
      </c>
      <c r="L13" s="19" t="str" cm="1">
        <f t="array" aca="1" ref="L13" ca="1">IF(INDIRECT("'"&amp;Table_LuT_Deelnemers[[#This Row],[Naam Sheet]]&amp;"'!Kostensystematiek")="[Maak een keuze]","",INDIRECT("'"&amp;Table_LuT_Deelnemers[[#This Row],[Naam Sheet]]&amp;"'!Kostensystematiek"))</f>
        <v/>
      </c>
      <c r="M13" s="3" t="b">
        <f>Table_LuT_Deelnemers[[#This Row],[Type Organisatie]]="MKB"</f>
        <v>0</v>
      </c>
      <c r="N13" s="3" t="b">
        <f>Table_LuT_Deelnemers[[#This Row],[Type Organisatie]]="Onderzoeksorganisatie"</f>
        <v>0</v>
      </c>
      <c r="O13" s="3" t="b">
        <f>Table_LuT_Deelnemers[[#This Row],[Type Organisatie]]="Grootbedrijf"</f>
        <v>0</v>
      </c>
      <c r="P13" s="19" t="b">
        <f>Table_LuT_Deelnemers[[#This Row],[Verkorte Referentienaam Deelnemer]]="DN1"</f>
        <v>0</v>
      </c>
      <c r="Q13" s="3" t="b">
        <f t="shared" si="0"/>
        <v>0</v>
      </c>
      <c r="R13" s="3" t="b">
        <f t="shared" si="1"/>
        <v>0</v>
      </c>
      <c r="S13" s="3" t="b" cm="1">
        <f t="array" ref="S13">NOT(ISBLANK(_xlfn.XLOOKUP(Table_LuT_Deelnemers[[#This Row],[ID Deelnemer]],INDEX(Range_Deelnemer_Nrs,,1),INDEX(Range_Deelnemer_Nrs,,2),"",0,1)))</f>
        <v>0</v>
      </c>
      <c r="T13" s="3" t="b" cm="1">
        <f t="array" ref="T13">_xlfn.XLOOKUP(Table_LuT_Deelnemers[[#This Row],[ID Deelnemer]],INDEX(Range_Deelnemer_Nrs,,1),INDEX(Range_Deelnemer_Nrs,,3),"",0,1)&lt;&gt;"[Maak een keuze]"</f>
        <v>0</v>
      </c>
      <c r="U13" s="3" t="b" cm="1">
        <f t="array" ref="U13">NOT(ISBLANK(_xlfn.XLOOKUP(Table_LuT_Deelnemers[[#This Row],[ID Deelnemer]],INDEX(Range_Deelnemer_Nrs,,1),INDEX(Range_Deelnemer_Nrs,,4),"",0,1)))</f>
        <v>0</v>
      </c>
      <c r="V13" s="3" t="b" cm="1">
        <f t="array" ref="V13">NOT(ISBLANK(_xlfn.XLOOKUP(Table_LuT_Deelnemers[[#This Row],[ID Deelnemer]],INDEX(Range_Deelnemer_Nrs,,1),INDEX(Range_Deelnemer_Nrs,,5),"",0,1)))</f>
        <v>0</v>
      </c>
      <c r="W13" s="19" t="b" cm="1">
        <f t="array" aca="1" ref="W13" ca="1">INDIRECT("'"&amp;Table_LuT_Deelnemers[[#This Row],[Naam Sheet]]&amp;"'!Kostensystematiek")&lt;&gt;"[Maak een keuze]"</f>
        <v>0</v>
      </c>
      <c r="X13" s="248" t="b">
        <f>OR(NOT(Table_LuT_Deelnemers[[#This Row],[DN niet leeg?]]),Table_LuT_Deelnemers[[#This Row],[Is OO?]],NOT(Table_LuT_Deelnemers[[#This Row],[Is GB?]]))</f>
        <v>1</v>
      </c>
      <c r="Y13" s="3" t="b">
        <f>OR(Table_LuT_Deelnemers[[#This Row],[Verkorte Referentienaam Deelnemer]]&lt;&gt;"DN1",NOT(Table_LuT_Deelnemers[[#This Row],[Penvoerder niet leeg?]]),AND(Subsidie_instrument&lt;&gt;"[Maak een keuze]",NOT(ISBLANK(Projecttitel)),NOT(ISBLANK(Projectacroniem))))</f>
        <v>1</v>
      </c>
      <c r="Z13" s="3" t="b">
        <f t="shared" si="2"/>
        <v>1</v>
      </c>
      <c r="AA13" s="3" t="b">
        <f t="shared" si="3"/>
        <v>1</v>
      </c>
      <c r="AB13" s="3" t="b">
        <f>OR(Table_LuT_Deelnemers[[#This Row],[Verkorte Referentienaam Deelnemer]]&lt;&gt;"DN1",Table_LuT_Deelnemers[[#This Row],[Penvoerder niet leeg?]],NOT(Table_LuT_Deelnemers[[#This Row],[DN2 niet leeg?]]))</f>
        <v>1</v>
      </c>
      <c r="AC13" s="3" t="b">
        <f>OR(Table_LuT_Deelnemers[[#This Row],[Verkorte Referentienaam Deelnemer]]&lt;&gt;"DN2",NOT(_xlfn.XOR(Table_LuT_Deelnemers[[#This Row],[Penvoerder niet leeg?]],Table_LuT_Deelnemers[[#This Row],[DN2 niet leeg?]])))</f>
        <v>1</v>
      </c>
      <c r="AD13" s="3" t="b">
        <f>OR(Table_LuT_Deelnemers[[#This Row],[Verkorte Referentienaam Deelnemer]]="DN1",NOT(Table_LuT_Deelnemers[[#This Row],[DN niet leeg?]]),AND(S$2:S12))</f>
        <v>1</v>
      </c>
      <c r="AE13"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13" s="3" t="b">
        <f>OR(NOT(Table_LuT_Deelnemers[[#This Row],[DN niet leeg?]]),NOT(Table_LuT_Deelnemers[[#This Row],[DN2 niet leeg?]]),OR(Table_LuT_Deelnemers[Is OO?]))</f>
        <v>1</v>
      </c>
      <c r="AG13" s="3" t="b">
        <f>OR(Table_LuT_Deelnemers[[#This Row],[Verkorte Referentienaam Deelnemer]]="DN1",NOT(_xlfn.XOR(Table_LuT_Deelnemers[[#This Row],[DN niet leeg?]],Table_LuT_Deelnemers[[#This Row],[Type Organisatie niet leeg?]])))</f>
        <v>1</v>
      </c>
      <c r="AH13" s="3" t="b">
        <f>OR(Table_LuT_Deelnemers[[#This Row],[Verkorte Referentienaam Deelnemer]]&lt;&gt;"DN1",NOT(Table_LuT_Deelnemers[[#This Row],[Penvoerder niet leeg?]]),NOT(Table_LuT_Deelnemers[[#This Row],[Is Buitenlandse Organisatie]]))</f>
        <v>1</v>
      </c>
      <c r="AI13" s="3" t="b">
        <f>OR(NOT(Table_LuT_Deelnemers[[#This Row],[DN niet leeg?]]),Table_LuT_Deelnemers[[#This Row],[Is Buitenlandse Organisatie]],Table_LuT_Deelnemers[[#This Row],[KVK niet leeg?]])</f>
        <v>1</v>
      </c>
      <c r="AJ13" s="3" t="b">
        <f>OR(NOT(Table_LuT_Deelnemers[[#This Row],[DN niet leeg?]]),Table_LuT_Deelnemers[[#This Row],[Is Buitenlandse Organisatie]],AND(Table_LuT_Deelnemers[[#This Row],[KVK niet leeg?]],LEN(Table_LuT_Deelnemers[[#This Row],[KVK-nummer]])&lt;=8))</f>
        <v>1</v>
      </c>
      <c r="AK13" s="3" t="b">
        <f>OR(NOT(Table_LuT_Deelnemers[[#This Row],[DN niet leeg?]]),NOT(Table_LuT_Deelnemers[[#This Row],[Is Buitenlandse Organisatie]]),NOT(Table_LuT_Deelnemers[[#This Row],[KVK niet leeg?]]))</f>
        <v>1</v>
      </c>
      <c r="AL13" s="3" t="b">
        <f ca="1">OR(NOT(Table_LuT_Deelnemers[[#This Row],[DN niet leeg?]]),Table_LuT_Deelnemers[[#This Row],[Kostensystematiek niet leeg?]])</f>
        <v>1</v>
      </c>
      <c r="AM13" s="3" t="b" cm="1">
        <f t="array" aca="1" ref="AM13" ca="1">INDIRECT("'"&amp;Table_LuT_Deelnemers[[#This Row],[ID Deelnemer]]&amp;"'!Check_Vaste_uurtarief")</f>
        <v>1</v>
      </c>
      <c r="AN13" s="3" t="b" cm="1">
        <f t="array" ref="AN13">OR(NOT(Table_LuT_Deelnemers[[#This Row],[Is Penvoerder?]]),NOT(Table_LuT_Deelnemers[[#This Row],[DN niet leeg?]]),AND(OR(Var_Sub.instr.="MKB",Table_LuT_Deelnemers[[#This Row],[Is OO?]]),OR(Var_Sub.instr.&lt;&gt;"MKB",Table_LuT_Deelnemers[[#This Row],[Is MKB?]])))</f>
        <v>1</v>
      </c>
      <c r="AO13" s="3" t="b" cm="1">
        <f t="array" ref="AO13">OR(NOT(Table_LuT_Deelnemers[[#This Row],[DN niet leeg?]]),Var_Sub.instr.&lt;&gt;"MKB",Table_LuT_Deelnemers[[#This Row],[Is OO?]],Table_LuT_Deelnemers[[#This Row],[Is MKB?]])</f>
        <v>1</v>
      </c>
      <c r="AP13" s="3" t="b" cm="1">
        <f t="array" aca="1" ref="AP13" ca="1">IFERROR(Minimale_Cash_CoF&lt;=SUMIFS(Table_LuT_Deelnemers[Cash Bijdrage],Table_LuT_Deelnemers[Type Organisatie],"&lt;&gt;Onderzoeksorganisatie"),FALSE)</f>
        <v>1</v>
      </c>
      <c r="AQ13" s="3" t="b" cm="1">
        <f t="array" aca="1" ref="AQ13" ca="1">IFERROR(Minimale_Cash_CoF&lt;=SUMIFS(Table_LuT_Deelnemers[Cash Ontvangen],Table_LuT_Deelnemers[Type Organisatie],"Onderzoeksorganisatie"),FALSE)</f>
        <v>1</v>
      </c>
      <c r="AR13" s="3" t="b" cm="1">
        <f t="array" aca="1" ref="AR13" ca="1">AND(((Table_LuT_Deelnemers[Cash Bijdrage])=0) + ((Table_LuT_Deelnemers[Cash Ontvangen])=0))</f>
        <v>1</v>
      </c>
      <c r="AS13" s="3" t="b">
        <f ca="1">IFERROR(ABS(Table_LuT_Deelnemers[[#Totals],[Cash Bijdrage]]-Table_LuT_Deelnemers[[#Totals],[Cash Ontvangen]])&lt;1,FALSE)</f>
        <v>1</v>
      </c>
      <c r="AT13" s="3" t="b">
        <f ca="1">IFERROR(Table_LuT_Deelnemers[[#This Row],[Maximale Subsidie FO - HTSM^overheid]]&gt;=Table_LuT_Deelnemers[[#This Row],[Gevraagde Subsidie FO]],FALSE)</f>
        <v>1</v>
      </c>
      <c r="AU13" s="3" t="b">
        <f ca="1">IFERROR(Table_LuT_Deelnemers[[#This Row],[Maximale Subsidie IO - HTSM^overheid]]&gt;=Table_LuT_Deelnemers[[#This Row],[Gevraagde Subsidie IO]],FALSE)</f>
        <v>1</v>
      </c>
      <c r="AV13" s="3" t="b">
        <f ca="1">IFERROR(Table_LuT_Deelnemers[[#This Row],[Maximale Subsidie EO - HTSM^overheid]]&gt;=Table_LuT_Deelnemers[[#This Row],[Gevraagde Subsidie EO]],FALSE)</f>
        <v>1</v>
      </c>
      <c r="AW13" s="3" t="b" cm="1">
        <f t="array" aca="1" ref="AW13"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13" s="3" t="b">
        <f ca="1">IFERROR(Table_LuT_Deelnemers[[#Totals],[Maximale Subsidie Totaal - HTSM]]&gt;=Table_LuT_Deelnemers[[#Totals],[Gevraagde Subsidie Totaal]],FALSE)</f>
        <v>1</v>
      </c>
      <c r="AY13" s="3" t="b" cm="1">
        <f t="array" aca="1" ref="AY13" ca="1">OR(NOT(Table_LuT_Deelnemers[[#This Row],[DN niet leeg?]]),Var_Sub.instr.="MKB",Table_LuT_Deelnemers[[#This Row],[Type Organisatie]]="Onderzoeksorganisatie",Table_LuT_Deelnemers[[#This Row],[Gevraagde Subsidie Totaal]]=0)</f>
        <v>1</v>
      </c>
      <c r="AZ13" s="3" t="b" cm="1">
        <f t="array" aca="1" ref="AZ13"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13" s="3" t="b" cm="1">
        <f t="array" aca="1" ref="BA13" ca="1">IFERROR(AND(ABS((Table_LuT_Deelnemers[Kosten Totaal])-(Table_LuT_Deelnemers[Financiering Totaal]))&lt;1),FALSE)</f>
        <v>1</v>
      </c>
      <c r="BB13" s="3" t="b">
        <f ca="1">IFERROR(ABS(Table_LuT_Deelnemers[[#Totals],[Financiering Totaal]]-Table_LuT_Deelnemers[[#Totals],[Kosten Totaal]])&lt;1,FALSE)</f>
        <v>1</v>
      </c>
      <c r="BC13" s="3" t="b" cm="1">
        <f t="array" aca="1" ref="BC13" ca="1">OR(Var_Sub.instr.&lt;&gt;"MKB",AND(Table_LuT_Deelnemers[Kosten FO]=0,Table_LuT_Deelnemers[Kosten EO]=0))</f>
        <v>1</v>
      </c>
      <c r="BD13" s="3" t="b" cm="1">
        <f t="array" ref="BD13">IF(Var_Sub.instr.="MKB",AND(Table_LuT_Deelnemers[Verhouding SUM kosten OOs / SUM kosten MKBs is OK?]),TRUE)</f>
        <v>1</v>
      </c>
      <c r="BE13" s="3" t="b" cm="1">
        <f t="array" ref="BE13">IF(Var_Sub.instr.="MKB",AND(Table_LuT_Deelnemers[SUM Maximale Subsidie MKBs &lt;= € 300,000, als MKB-call],Table_LuT_Deelnemers[SUM Maximale Subsidie OOs &lt;= € 150,000, als MKB-call]),TRUE)</f>
        <v>1</v>
      </c>
      <c r="BF13" s="3" t="b" cm="1">
        <f t="array" aca="1" ref="BF13" ca="1">AND(( (Table_LuT_Deelnemers[Naam Organisatie]&lt;&gt;"") + ((Table_LuT_Deelnemers[Cash Bijdrage]=0) * (Table_LuT_Deelnemers[Financiering Totaal]=0)) ))</f>
        <v>1</v>
      </c>
      <c r="BG13" s="3" t="b" cm="1">
        <f t="array" aca="1" ref="BG13" ca="1">IFERROR(AND((Table_LuT_Deelnemers[[Cash Bijdrage]:[Gevraagde Subsidie EO]]="") + (ISNUMBER(Table_LuT_Deelnemers[[Cash Bijdrage]:[Gevraagde Subsidie EO]]) * (Table_LuT_Deelnemers[[Cash Bijdrage]:[Gevraagde Subsidie EO]]&gt;=0) * (MOD(Table_LuT_Deelnemers[[Cash Bijdrage]:[Gevraagde Subsidie EO]],1)=0))),FALSE)</f>
        <v>1</v>
      </c>
      <c r="BH13" s="246" t="b">
        <f t="shared" si="4"/>
        <v>0</v>
      </c>
      <c r="BI13" s="19" t="b">
        <f ca="1">AND(Table_LuT_Deelnemers[[#This Row],[Check 005]:[Check 990]])</f>
        <v>0</v>
      </c>
      <c r="BJ13" s="11">
        <f>SUMIFS(Table_LuT_Deelnemers[Kosten Totaal],Table_LuT_Deelnemers[Is MKB?],TRUE)</f>
        <v>0</v>
      </c>
      <c r="BK13" s="11">
        <f>SUMIFS(Table_LuT_Deelnemers[Kosten Totaal],Table_LuT_Deelnemers[Is OO?],TRUE)</f>
        <v>0</v>
      </c>
      <c r="BL13" s="243" t="b" cm="1">
        <f t="array" ref="BL13">IF(Var_Sub.instr.="MKB",IF(Table_LuT_Deelnemers[[#This Row],[SUM Kosten MKBs]]=0,FALSE,Table_LuT_Deelnemers[[#This Row],[SUM Kosten OOs]]/Table_LuT_Deelnemers[[#This Row],[SUM Kosten MKBs]]&lt;=0.5),TRUE)</f>
        <v>1</v>
      </c>
      <c r="BM13" s="8" cm="1">
        <f t="array" aca="1" ref="BM13" ca="1">INDIRECT("Kst_FO_"&amp;Table_LuT_Deelnemers[[#This Row],[Verkorte Referentienaam Deelnemer]])</f>
        <v>0</v>
      </c>
      <c r="BN13" s="8" cm="1">
        <f t="array" aca="1" ref="BN13" ca="1">INDIRECT("Kst_IO_"&amp;Table_LuT_Deelnemers[[#This Row],[Verkorte Referentienaam Deelnemer]])</f>
        <v>0</v>
      </c>
      <c r="BO13" s="8" cm="1">
        <f t="array" aca="1" ref="BO13" ca="1">INDIRECT("Kst_EO_"&amp;Table_LuT_Deelnemers[[#This Row],[Verkorte Referentienaam Deelnemer]])</f>
        <v>0</v>
      </c>
      <c r="BP13" s="8" cm="1">
        <f t="array" aca="1" ref="BP13" ca="1">INDIRECT("Kst_Tot_"&amp;Table_LuT_Deelnemers[[#This Row],[Verkorte Referentienaam Deelnemer]])</f>
        <v>0</v>
      </c>
      <c r="BQ13" s="330" cm="1">
        <f t="array" aca="1" ref="BQ13" ca="1">INDIRECT("'"&amp;A13&amp;"'!Kosten_Apparatuur")</f>
        <v>0</v>
      </c>
      <c r="BR13" s="8" cm="1">
        <f t="array" aca="1" ref="BR13" ca="1">INDIRECT("Max_Sub_FO_"&amp;Table_LuT_Deelnemers[[#This Row],[Verkorte Referentienaam Deelnemer]])</f>
        <v>0</v>
      </c>
      <c r="BS13" s="8" cm="1">
        <f t="array" aca="1" ref="BS13" ca="1">INDIRECT("Max_Sub_IO_"&amp;Table_LuT_Deelnemers[[#This Row],[Verkorte Referentienaam Deelnemer]])</f>
        <v>0</v>
      </c>
      <c r="BT13" s="8" cm="1">
        <f t="array" aca="1" ref="BT13" ca="1">INDIRECT("Max_Sub_EO_"&amp;Table_LuT_Deelnemers[[#This Row],[Verkorte Referentienaam Deelnemer]])</f>
        <v>0</v>
      </c>
      <c r="BU13" s="328" cm="1">
        <f t="array" aca="1" ref="BU13" ca="1">INDIRECT("Max_Sub_"&amp;Table_LuT_Deelnemers[[#This Row],[Verkorte Referentienaam Deelnemer]])</f>
        <v>0</v>
      </c>
      <c r="BV13" s="190" cm="1">
        <f t="array" aca="1" ref="BV13" ca="1">INDIRECT("Cash_"&amp;Table_LuT_Deelnemers[[#This Row],[Verkorte Referentienaam Deelnemer]])</f>
        <v>0</v>
      </c>
      <c r="BW13" s="8" cm="1">
        <f t="array" aca="1" ref="BW13" ca="1">INDIRECT("Cash_Ontvangen_"&amp;Table_LuT_Deelnemers[[#This Row],[Verkorte Referentienaam Deelnemer]])</f>
        <v>0</v>
      </c>
      <c r="BX13" s="8" cm="1">
        <f t="array" aca="1" ref="BX13" ca="1">INDIRECT("In_kind_"&amp;Table_LuT_Deelnemers[[#This Row],[Verkorte Referentienaam Deelnemer]])</f>
        <v>0</v>
      </c>
      <c r="BY13" s="8" cm="1">
        <f t="array" aca="1" ref="BY13" ca="1">INDIRECT("Overige_Subsidies_"&amp;Table_LuT_Deelnemers[[#This Row],[Verkorte Referentienaam Deelnemer]])</f>
        <v>0</v>
      </c>
      <c r="BZ13" s="190" cm="1">
        <f t="array" aca="1" ref="BZ13" ca="1">INDIRECT("Subsidie_FO_"&amp;Table_LuT_Deelnemers[[#This Row],[Verkorte Referentienaam Deelnemer]])</f>
        <v>0</v>
      </c>
      <c r="CA13" s="190" cm="1">
        <f t="array" aca="1" ref="CA13" ca="1">INDIRECT("Subsidie_IO_"&amp;Table_LuT_Deelnemers[[#This Row],[Verkorte Referentienaam Deelnemer]])</f>
        <v>0</v>
      </c>
      <c r="CB13" s="190" cm="1">
        <f t="array" aca="1" ref="CB13" ca="1">INDIRECT("Subsidie_EO_"&amp;Table_LuT_Deelnemers[[#This Row],[Verkorte Referentienaam Deelnemer]])</f>
        <v>0</v>
      </c>
      <c r="CC13" s="8" cm="1">
        <f t="array" aca="1" ref="CC13" ca="1">INDIRECT("Subsidie_"&amp;Table_LuT_Deelnemers[[#This Row],[Verkorte Referentienaam Deelnemer]])</f>
        <v>0</v>
      </c>
      <c r="CD13" s="254" cm="1">
        <f t="array" aca="1" ref="CD13" ca="1">INDIRECT("Fin_Tot_"&amp;Table_LuT_Deelnemers[[#This Row],[Verkorte Referentienaam Deelnemer]])</f>
        <v>0</v>
      </c>
      <c r="CE13" s="8">
        <f ca="1">_xlfn.LET(_xlpm.Var_Delta,Table_LuT_Deelnemers[[#This Row],[Gevraagde Subsidie FO]]-Table_LuT_Deelnemers[[#This Row],[Maximale Subsidie FO - HTSM^overheid]],IF(_xlpm.Var_Delta&gt;0,_xlpm.Var_Delta,0))</f>
        <v>0</v>
      </c>
      <c r="CF13" s="8">
        <f ca="1">_xlfn.LET(_xlpm.Var_Delta,Table_LuT_Deelnemers[[#This Row],[Gevraagde Subsidie IO]]-Table_LuT_Deelnemers[[#This Row],[Maximale Subsidie IO - HTSM^overheid]],IF(_xlpm.Var_Delta&gt;0,_xlpm.Var_Delta,0))</f>
        <v>0</v>
      </c>
      <c r="CG13" s="8">
        <f ca="1">_xlfn.LET(_xlpm.Var_Delta,Table_LuT_Deelnemers[[#This Row],[Gevraagde Subsidie EO]]-Table_LuT_Deelnemers[[#This Row],[Maximale Subsidie EO - HTSM^overheid]],IF(_xlpm.Var_Delta&gt;0,_xlpm.Var_Delta,0))</f>
        <v>0</v>
      </c>
      <c r="CH13" s="8">
        <f ca="1">_xlfn.LET(_xlpm.Var_Delta,Table_LuT_Deelnemers[[#This Row],[Gevraagde Subsidie Totaal]]-Table_LuT_Deelnemers[[#This Row],[Maximale Subsidie Totaal - HTSM^overheid]],IF(_xlpm.Var_Delta&gt;0,_xlpm.Var_Delta,0))</f>
        <v>0</v>
      </c>
      <c r="CI13" s="11">
        <f>SUMIFS(Table_LuT_Deelnemers[Gevraagde Subsidie Totaal],Table_LuT_Deelnemers[Is MKB?],TRUE)</f>
        <v>0</v>
      </c>
      <c r="CJ13" s="11">
        <f>SUMIFS(Table_LuT_Deelnemers[Gevraagde Subsidie Totaal],Table_LuT_Deelnemers[Is OO?],TRUE)</f>
        <v>0</v>
      </c>
      <c r="CK13" s="11" t="b" cm="1">
        <f t="array" ref="CK13">IF(Var_Sub.instr.="MKB",Table_LuT_Deelnemers[[#This Row],[SUM Gevraagde Subsidie MKBs]]&lt;=Var_MaxSub_MKB_call_MKB,TRUE)</f>
        <v>1</v>
      </c>
      <c r="CL13" s="243" t="b" cm="1">
        <f t="array" ref="CL13">IF(Var_Sub.instr.="MKB",Table_LuT_Deelnemers[[#This Row],[SUM Gevraagde Subsidie OOs]]&lt;=Var_MaxSub_MKB_call_OO,TRUE)</f>
        <v>1</v>
      </c>
      <c r="CM13" s="8">
        <f ca="1">SUMIFS(Table_LuT_Begroting_Deelnemers[Maximale Subsidie - overheid],Table_LuT_Begroting_Deelnemers[Verkorte Referentienaam Deelnemer],Table_LuT_Deelnemers[[#This Row],[Verkorte Referentienaam Deelnemer]],Table_LuT_Begroting_Deelnemers[FO | IO | EO],"FO")</f>
        <v>0</v>
      </c>
      <c r="CN13" s="8">
        <f ca="1">SUMIFS(Table_LuT_Begroting_Deelnemers[Maximale Subsidie - overheid],Table_LuT_Begroting_Deelnemers[Verkorte Referentienaam Deelnemer],Table_LuT_Deelnemers[[#This Row],[Verkorte Referentienaam Deelnemer]],Table_LuT_Begroting_Deelnemers[FO | IO | EO],"IO")</f>
        <v>0</v>
      </c>
      <c r="CO13" s="8">
        <f ca="1">SUMIFS(Table_LuT_Begroting_Deelnemers[Maximale Subsidie - overheid],Table_LuT_Begroting_Deelnemers[Verkorte Referentienaam Deelnemer],Table_LuT_Deelnemers[[#This Row],[Verkorte Referentienaam Deelnemer]],Table_LuT_Begroting_Deelnemers[FO | IO | EO],"EO")</f>
        <v>0</v>
      </c>
      <c r="CP13" s="328">
        <f ca="1">SUMIFS(Table_LuT_Begroting_Deelnemers[Maximale Subsidie - overheid],Table_LuT_Begroting_Deelnemers[Verkorte Referentienaam Deelnemer],Table_LuT_Deelnemers[[#This Row],[Verkorte Referentienaam Deelnemer]])</f>
        <v>0</v>
      </c>
      <c r="CQ13" s="8">
        <f ca="1">IF(Table_LuT_Deelnemers[[#This Row],[Is OO?]],Table_LuT_Deelnemers[[#This Row],[Maximale Subsidie FO - overheid]],Table_LuT_Deelnemers[[#This Row],[Maximale Subsidie FO - HTSM]])</f>
        <v>0</v>
      </c>
      <c r="CR13" s="8">
        <f ca="1">IF(Table_LuT_Deelnemers[[#This Row],[Is OO?]],Table_LuT_Deelnemers[[#This Row],[Maximale Subsidie IO - overheid]],Table_LuT_Deelnemers[[#This Row],[Maximale Subsidie IO - HTSM]])</f>
        <v>0</v>
      </c>
      <c r="CS13" s="8">
        <f ca="1">IF(Table_LuT_Deelnemers[[#This Row],[Is OO?]],Table_LuT_Deelnemers[[#This Row],[Maximale Subsidie EO - overheid]],Table_LuT_Deelnemers[[#This Row],[Maximale Subsidie EO - HTSM]])</f>
        <v>0</v>
      </c>
      <c r="CT13" s="328">
        <f ca="1">IF(Table_LuT_Deelnemers[[#This Row],[Is OO?]],Table_LuT_Deelnemers[[#This Row],[Maximale Subsidie Totaal - overheid]],Table_LuT_Deelnemers[[#This Row],[Maximale Subsidie Totaal - HTSM]])</f>
        <v>0</v>
      </c>
      <c r="CU13" s="11">
        <f>SUMIFS(Table_LuT_Deelnemers[Gevraagde Subsidie Totaal],Table_LuT_Deelnemers[Is OO?],TRUE)</f>
        <v>0</v>
      </c>
      <c r="CV13" s="11">
        <f ca="1">SUMIFS(Table_LuT_Begroting_Deelnemers[Maximale Subsidie OO - overheid],Table_LuT_Begroting_Deelnemers[Is OO?],TRUE)</f>
        <v>0</v>
      </c>
      <c r="CW13" s="11">
        <f ca="1">SUMIFS(Table_LuT_Begroting_Deelnemers[Maximale Subsidie OO - HTSM],Table_LuT_Begroting_Deelnemers[Is OO?],TRUE)</f>
        <v>0</v>
      </c>
      <c r="CX13" s="11">
        <f ca="1">SUMIFS(Table_LuT_Begroting_Deelnemers[Maximale Subsidie MKB - HTSM],Table_LuT_Begroting_Deelnemers[Is MKB?],TRUE)</f>
        <v>0</v>
      </c>
      <c r="CY13" s="11">
        <f ca="1">Table_LuT_Deelnemers[[#This Row],[SUM Maximale Subsidie - OO - HTSM]]+Table_LuT_Deelnemers[[#This Row],[SUM Maximale Subsidie - MKB - HTSM]]</f>
        <v>0</v>
      </c>
      <c r="CZ13" s="11">
        <f ca="1">MIN(Table_LuT_Deelnemers[[#This Row],[SUM  Maximale Subsidie - OO - overheid]],Table_LuT_Deelnemers[[#This Row],[SUM Maximale Subsidie - OO+MKB - HTSM]])</f>
        <v>0</v>
      </c>
    </row>
    <row r="14" spans="1:104" ht="15" customHeight="1" x14ac:dyDescent="0.25">
      <c r="A14" s="2" t="s">
        <v>191</v>
      </c>
      <c r="B14" s="2" t="s">
        <v>201</v>
      </c>
      <c r="C14" s="2" t="s">
        <v>211</v>
      </c>
      <c r="D14" s="3" t="str">
        <f>Table_LuT_Deelnemers[[#This Row],[ID Deelnemer]]</f>
        <v>Deelnemer 13</v>
      </c>
      <c r="E14" s="3" t="str" cm="1">
        <f t="array" ref="E14">IF(NOT(Table_LuT_Deelnemers[[#This Row],[DN niet leeg?]]),"",_xlfn.XLOOKUP(Table_LuT_Deelnemers[[#This Row],[ID Deelnemer]],INDEX(Range_Deelnemer_Nrs,,1),INDEX(Range_Deelnemer_Nrs,,2),"",0,1))</f>
        <v/>
      </c>
      <c r="F14" s="3" t="str" cm="1">
        <f t="array" ref="F14">IF(NOT(Table_LuT_Deelnemers[[#This Row],[Type Organisatie niet leeg?]]),"",_xlfn.XLOOKUP(Table_LuT_Deelnemers[[#This Row],[ID Deelnemer]],INDEX(Range_Deelnemer_Nrs,,1),INDEX(Range_Deelnemer_Nrs,,3),"",0,1))</f>
        <v/>
      </c>
      <c r="G14" s="3" t="str" cm="1">
        <f t="array" ref="G14">IF(NOT(Table_LuT_Deelnemers[[#This Row],[Type Organisatie niet leeg?]]),"",_xlfn.XLOOKUP(Table_LuT_Deelnemers[[#This Row],[Type Organisatie]],ValList_Type_Organisatie,Table_Val_List_Type_Org[TO]))</f>
        <v/>
      </c>
      <c r="H14" s="3" t="str" cm="1">
        <f t="array" ref="H14">IF(NOT(Table_LuT_Deelnemers[[#This Row],[KVK niet leeg?]]),"",_xlfn.XLOOKUP(Table_LuT_Deelnemers[[#This Row],[ID Deelnemer]],INDEX(Range_Deelnemer_Nrs,,1),INDEX(Range_Deelnemer_Nrs,,4),"",0,1))</f>
        <v/>
      </c>
      <c r="I14" s="3" t="str" cm="1">
        <f t="array" ref="I14">IF(NOT(Table_LuT_Deelnemers[[#This Row],[DN niet leeg?]]),"",IF(NOT(Table_LuT_Deelnemers[[#This Row],[Is Buitenlandse Organisatie]]),"",_xlfn.XLOOKUP(Table_LuT_Deelnemers[[#This Row],[ID Deelnemer]],INDEX(Range_Deelnemer_Nrs,,1),INDEX(Range_Deelnemer_Nrs,,5),"",0,1)))</f>
        <v/>
      </c>
      <c r="J14" s="3" t="str" cm="1">
        <f t="array" ref="J14">IF(NOT(Table_LuT_Deelnemers[[#This Row],[DN niet leeg?]]),"",_xlfn.XLOOKUP(Table_LuT_Deelnemers[[#This Row],[ID Deelnemer]],INDEX(Range_Deelnemer_Nrs,,1),INDEX(Range_Deelnemer_Nrs,,6),"",0,1)&lt;&gt;"nee")</f>
        <v/>
      </c>
      <c r="K14" s="3" t="str" cm="1">
        <f t="array" ref="K14">IF(NOT(Table_LuT_Deelnemers[[#This Row],[DN niet leeg?]]),"",_xlfn.LET(_xlpm.website,_xlfn.XLOOKUP(Table_LuT_Deelnemers[[#This Row],[ID Deelnemer]],INDEX(Range_Deelnemer_Nrs,,1),INDEX(Range_Deelnemer_Nrs,,7),"",0,1),IF(_xlpm.website=0,"",_xlpm.website)))</f>
        <v/>
      </c>
      <c r="L14" s="19" t="str" cm="1">
        <f t="array" aca="1" ref="L14" ca="1">IF(INDIRECT("'"&amp;Table_LuT_Deelnemers[[#This Row],[Naam Sheet]]&amp;"'!Kostensystematiek")="[Maak een keuze]","",INDIRECT("'"&amp;Table_LuT_Deelnemers[[#This Row],[Naam Sheet]]&amp;"'!Kostensystematiek"))</f>
        <v/>
      </c>
      <c r="M14" s="3" t="b">
        <f>Table_LuT_Deelnemers[[#This Row],[Type Organisatie]]="MKB"</f>
        <v>0</v>
      </c>
      <c r="N14" s="3" t="b">
        <f>Table_LuT_Deelnemers[[#This Row],[Type Organisatie]]="Onderzoeksorganisatie"</f>
        <v>0</v>
      </c>
      <c r="O14" s="3" t="b">
        <f>Table_LuT_Deelnemers[[#This Row],[Type Organisatie]]="Grootbedrijf"</f>
        <v>0</v>
      </c>
      <c r="P14" s="19" t="b">
        <f>Table_LuT_Deelnemers[[#This Row],[Verkorte Referentienaam Deelnemer]]="DN1"</f>
        <v>0</v>
      </c>
      <c r="Q14" s="3" t="b">
        <f t="shared" si="0"/>
        <v>0</v>
      </c>
      <c r="R14" s="3" t="b">
        <f t="shared" si="1"/>
        <v>0</v>
      </c>
      <c r="S14" s="3" t="b" cm="1">
        <f t="array" ref="S14">NOT(ISBLANK(_xlfn.XLOOKUP(Table_LuT_Deelnemers[[#This Row],[ID Deelnemer]],INDEX(Range_Deelnemer_Nrs,,1),INDEX(Range_Deelnemer_Nrs,,2),"",0,1)))</f>
        <v>0</v>
      </c>
      <c r="T14" s="3" t="b" cm="1">
        <f t="array" ref="T14">_xlfn.XLOOKUP(Table_LuT_Deelnemers[[#This Row],[ID Deelnemer]],INDEX(Range_Deelnemer_Nrs,,1),INDEX(Range_Deelnemer_Nrs,,3),"",0,1)&lt;&gt;"[Maak een keuze]"</f>
        <v>0</v>
      </c>
      <c r="U14" s="3" t="b" cm="1">
        <f t="array" ref="U14">NOT(ISBLANK(_xlfn.XLOOKUP(Table_LuT_Deelnemers[[#This Row],[ID Deelnemer]],INDEX(Range_Deelnemer_Nrs,,1),INDEX(Range_Deelnemer_Nrs,,4),"",0,1)))</f>
        <v>0</v>
      </c>
      <c r="V14" s="3" t="b" cm="1">
        <f t="array" ref="V14">NOT(ISBLANK(_xlfn.XLOOKUP(Table_LuT_Deelnemers[[#This Row],[ID Deelnemer]],INDEX(Range_Deelnemer_Nrs,,1),INDEX(Range_Deelnemer_Nrs,,5),"",0,1)))</f>
        <v>0</v>
      </c>
      <c r="W14" s="19" t="b" cm="1">
        <f t="array" aca="1" ref="W14" ca="1">INDIRECT("'"&amp;Table_LuT_Deelnemers[[#This Row],[Naam Sheet]]&amp;"'!Kostensystematiek")&lt;&gt;"[Maak een keuze]"</f>
        <v>0</v>
      </c>
      <c r="X14" s="248" t="b">
        <f>OR(NOT(Table_LuT_Deelnemers[[#This Row],[DN niet leeg?]]),Table_LuT_Deelnemers[[#This Row],[Is OO?]],NOT(Table_LuT_Deelnemers[[#This Row],[Is GB?]]))</f>
        <v>1</v>
      </c>
      <c r="Y14" s="3" t="b">
        <f>OR(Table_LuT_Deelnemers[[#This Row],[Verkorte Referentienaam Deelnemer]]&lt;&gt;"DN1",NOT(Table_LuT_Deelnemers[[#This Row],[Penvoerder niet leeg?]]),AND(Subsidie_instrument&lt;&gt;"[Maak een keuze]",NOT(ISBLANK(Projecttitel)),NOT(ISBLANK(Projectacroniem))))</f>
        <v>1</v>
      </c>
      <c r="Z14" s="3" t="b">
        <f t="shared" si="2"/>
        <v>1</v>
      </c>
      <c r="AA14" s="3" t="b">
        <f t="shared" si="3"/>
        <v>1</v>
      </c>
      <c r="AB14" s="3" t="b">
        <f>OR(Table_LuT_Deelnemers[[#This Row],[Verkorte Referentienaam Deelnemer]]&lt;&gt;"DN1",Table_LuT_Deelnemers[[#This Row],[Penvoerder niet leeg?]],NOT(Table_LuT_Deelnemers[[#This Row],[DN2 niet leeg?]]))</f>
        <v>1</v>
      </c>
      <c r="AC14" s="3" t="b">
        <f>OR(Table_LuT_Deelnemers[[#This Row],[Verkorte Referentienaam Deelnemer]]&lt;&gt;"DN2",NOT(_xlfn.XOR(Table_LuT_Deelnemers[[#This Row],[Penvoerder niet leeg?]],Table_LuT_Deelnemers[[#This Row],[DN2 niet leeg?]])))</f>
        <v>1</v>
      </c>
      <c r="AD14" s="3" t="b">
        <f>OR(Table_LuT_Deelnemers[[#This Row],[Verkorte Referentienaam Deelnemer]]="DN1",NOT(Table_LuT_Deelnemers[[#This Row],[DN niet leeg?]]),AND(S$2:S13))</f>
        <v>1</v>
      </c>
      <c r="AE14"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14" s="3" t="b">
        <f>OR(NOT(Table_LuT_Deelnemers[[#This Row],[DN niet leeg?]]),NOT(Table_LuT_Deelnemers[[#This Row],[DN2 niet leeg?]]),OR(Table_LuT_Deelnemers[Is OO?]))</f>
        <v>1</v>
      </c>
      <c r="AG14" s="3" t="b">
        <f>OR(Table_LuT_Deelnemers[[#This Row],[Verkorte Referentienaam Deelnemer]]="DN1",NOT(_xlfn.XOR(Table_LuT_Deelnemers[[#This Row],[DN niet leeg?]],Table_LuT_Deelnemers[[#This Row],[Type Organisatie niet leeg?]])))</f>
        <v>1</v>
      </c>
      <c r="AH14" s="3" t="b">
        <f>OR(Table_LuT_Deelnemers[[#This Row],[Verkorte Referentienaam Deelnemer]]&lt;&gt;"DN1",NOT(Table_LuT_Deelnemers[[#This Row],[Penvoerder niet leeg?]]),NOT(Table_LuT_Deelnemers[[#This Row],[Is Buitenlandse Organisatie]]))</f>
        <v>1</v>
      </c>
      <c r="AI14" s="3" t="b">
        <f>OR(NOT(Table_LuT_Deelnemers[[#This Row],[DN niet leeg?]]),Table_LuT_Deelnemers[[#This Row],[Is Buitenlandse Organisatie]],Table_LuT_Deelnemers[[#This Row],[KVK niet leeg?]])</f>
        <v>1</v>
      </c>
      <c r="AJ14" s="3" t="b">
        <f>OR(NOT(Table_LuT_Deelnemers[[#This Row],[DN niet leeg?]]),Table_LuT_Deelnemers[[#This Row],[Is Buitenlandse Organisatie]],AND(Table_LuT_Deelnemers[[#This Row],[KVK niet leeg?]],LEN(Table_LuT_Deelnemers[[#This Row],[KVK-nummer]])&lt;=8))</f>
        <v>1</v>
      </c>
      <c r="AK14" s="3" t="b">
        <f>OR(NOT(Table_LuT_Deelnemers[[#This Row],[DN niet leeg?]]),NOT(Table_LuT_Deelnemers[[#This Row],[Is Buitenlandse Organisatie]]),NOT(Table_LuT_Deelnemers[[#This Row],[KVK niet leeg?]]))</f>
        <v>1</v>
      </c>
      <c r="AL14" s="3" t="b">
        <f ca="1">OR(NOT(Table_LuT_Deelnemers[[#This Row],[DN niet leeg?]]),Table_LuT_Deelnemers[[#This Row],[Kostensystematiek niet leeg?]])</f>
        <v>1</v>
      </c>
      <c r="AM14" s="3" t="b" cm="1">
        <f t="array" aca="1" ref="AM14" ca="1">INDIRECT("'"&amp;Table_LuT_Deelnemers[[#This Row],[ID Deelnemer]]&amp;"'!Check_Vaste_uurtarief")</f>
        <v>1</v>
      </c>
      <c r="AN14" s="3" t="b" cm="1">
        <f t="array" ref="AN14">OR(NOT(Table_LuT_Deelnemers[[#This Row],[Is Penvoerder?]]),NOT(Table_LuT_Deelnemers[[#This Row],[DN niet leeg?]]),AND(OR(Var_Sub.instr.="MKB",Table_LuT_Deelnemers[[#This Row],[Is OO?]]),OR(Var_Sub.instr.&lt;&gt;"MKB",Table_LuT_Deelnemers[[#This Row],[Is MKB?]])))</f>
        <v>1</v>
      </c>
      <c r="AO14" s="3" t="b" cm="1">
        <f t="array" ref="AO14">OR(NOT(Table_LuT_Deelnemers[[#This Row],[DN niet leeg?]]),Var_Sub.instr.&lt;&gt;"MKB",Table_LuT_Deelnemers[[#This Row],[Is OO?]],Table_LuT_Deelnemers[[#This Row],[Is MKB?]])</f>
        <v>1</v>
      </c>
      <c r="AP14" s="3" t="b" cm="1">
        <f t="array" aca="1" ref="AP14" ca="1">IFERROR(Minimale_Cash_CoF&lt;=SUMIFS(Table_LuT_Deelnemers[Cash Bijdrage],Table_LuT_Deelnemers[Type Organisatie],"&lt;&gt;Onderzoeksorganisatie"),FALSE)</f>
        <v>1</v>
      </c>
      <c r="AQ14" s="3" t="b" cm="1">
        <f t="array" aca="1" ref="AQ14" ca="1">IFERROR(Minimale_Cash_CoF&lt;=SUMIFS(Table_LuT_Deelnemers[Cash Ontvangen],Table_LuT_Deelnemers[Type Organisatie],"Onderzoeksorganisatie"),FALSE)</f>
        <v>1</v>
      </c>
      <c r="AR14" s="3" t="b" cm="1">
        <f t="array" aca="1" ref="AR14" ca="1">AND(((Table_LuT_Deelnemers[Cash Bijdrage])=0) + ((Table_LuT_Deelnemers[Cash Ontvangen])=0))</f>
        <v>1</v>
      </c>
      <c r="AS14" s="3" t="b">
        <f ca="1">IFERROR(ABS(Table_LuT_Deelnemers[[#Totals],[Cash Bijdrage]]-Table_LuT_Deelnemers[[#Totals],[Cash Ontvangen]])&lt;1,FALSE)</f>
        <v>1</v>
      </c>
      <c r="AT14" s="3" t="b">
        <f ca="1">IFERROR(Table_LuT_Deelnemers[[#This Row],[Maximale Subsidie FO - HTSM^overheid]]&gt;=Table_LuT_Deelnemers[[#This Row],[Gevraagde Subsidie FO]],FALSE)</f>
        <v>1</v>
      </c>
      <c r="AU14" s="3" t="b">
        <f ca="1">IFERROR(Table_LuT_Deelnemers[[#This Row],[Maximale Subsidie IO - HTSM^overheid]]&gt;=Table_LuT_Deelnemers[[#This Row],[Gevraagde Subsidie IO]],FALSE)</f>
        <v>1</v>
      </c>
      <c r="AV14" s="3" t="b">
        <f ca="1">IFERROR(Table_LuT_Deelnemers[[#This Row],[Maximale Subsidie EO - HTSM^overheid]]&gt;=Table_LuT_Deelnemers[[#This Row],[Gevraagde Subsidie EO]],FALSE)</f>
        <v>1</v>
      </c>
      <c r="AW14" s="3" t="b" cm="1">
        <f t="array" aca="1" ref="AW14"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14" s="3" t="b">
        <f ca="1">IFERROR(Table_LuT_Deelnemers[[#Totals],[Maximale Subsidie Totaal - HTSM]]&gt;=Table_LuT_Deelnemers[[#Totals],[Gevraagde Subsidie Totaal]],FALSE)</f>
        <v>1</v>
      </c>
      <c r="AY14" s="3" t="b" cm="1">
        <f t="array" aca="1" ref="AY14" ca="1">OR(NOT(Table_LuT_Deelnemers[[#This Row],[DN niet leeg?]]),Var_Sub.instr.="MKB",Table_LuT_Deelnemers[[#This Row],[Type Organisatie]]="Onderzoeksorganisatie",Table_LuT_Deelnemers[[#This Row],[Gevraagde Subsidie Totaal]]=0)</f>
        <v>1</v>
      </c>
      <c r="AZ14" s="3" t="b" cm="1">
        <f t="array" aca="1" ref="AZ14"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14" s="3" t="b" cm="1">
        <f t="array" aca="1" ref="BA14" ca="1">IFERROR(AND(ABS((Table_LuT_Deelnemers[Kosten Totaal])-(Table_LuT_Deelnemers[Financiering Totaal]))&lt;1),FALSE)</f>
        <v>1</v>
      </c>
      <c r="BB14" s="3" t="b">
        <f ca="1">IFERROR(ABS(Table_LuT_Deelnemers[[#Totals],[Financiering Totaal]]-Table_LuT_Deelnemers[[#Totals],[Kosten Totaal]])&lt;1,FALSE)</f>
        <v>1</v>
      </c>
      <c r="BC14" s="3" t="b" cm="1">
        <f t="array" aca="1" ref="BC14" ca="1">OR(Var_Sub.instr.&lt;&gt;"MKB",AND(Table_LuT_Deelnemers[Kosten FO]=0,Table_LuT_Deelnemers[Kosten EO]=0))</f>
        <v>1</v>
      </c>
      <c r="BD14" s="3" t="b" cm="1">
        <f t="array" ref="BD14">IF(Var_Sub.instr.="MKB",AND(Table_LuT_Deelnemers[Verhouding SUM kosten OOs / SUM kosten MKBs is OK?]),TRUE)</f>
        <v>1</v>
      </c>
      <c r="BE14" s="3" t="b" cm="1">
        <f t="array" ref="BE14">IF(Var_Sub.instr.="MKB",AND(Table_LuT_Deelnemers[SUM Maximale Subsidie MKBs &lt;= € 300,000, als MKB-call],Table_LuT_Deelnemers[SUM Maximale Subsidie OOs &lt;= € 150,000, als MKB-call]),TRUE)</f>
        <v>1</v>
      </c>
      <c r="BF14" s="3" t="b" cm="1">
        <f t="array" aca="1" ref="BF14" ca="1">AND(( (Table_LuT_Deelnemers[Naam Organisatie]&lt;&gt;"") + ((Table_LuT_Deelnemers[Cash Bijdrage]=0) * (Table_LuT_Deelnemers[Financiering Totaal]=0)) ))</f>
        <v>1</v>
      </c>
      <c r="BG14" s="3" t="b" cm="1">
        <f t="array" aca="1" ref="BG14" ca="1">IFERROR(AND((Table_LuT_Deelnemers[[Cash Bijdrage]:[Gevraagde Subsidie EO]]="") + (ISNUMBER(Table_LuT_Deelnemers[[Cash Bijdrage]:[Gevraagde Subsidie EO]]) * (Table_LuT_Deelnemers[[Cash Bijdrage]:[Gevraagde Subsidie EO]]&gt;=0) * (MOD(Table_LuT_Deelnemers[[Cash Bijdrage]:[Gevraagde Subsidie EO]],1)=0))),FALSE)</f>
        <v>1</v>
      </c>
      <c r="BH14" s="246" t="b">
        <f t="shared" si="4"/>
        <v>0</v>
      </c>
      <c r="BI14" s="19" t="b">
        <f ca="1">AND(Table_LuT_Deelnemers[[#This Row],[Check 005]:[Check 990]])</f>
        <v>0</v>
      </c>
      <c r="BJ14" s="11">
        <f>SUMIFS(Table_LuT_Deelnemers[Kosten Totaal],Table_LuT_Deelnemers[Is MKB?],TRUE)</f>
        <v>0</v>
      </c>
      <c r="BK14" s="11">
        <f>SUMIFS(Table_LuT_Deelnemers[Kosten Totaal],Table_LuT_Deelnemers[Is OO?],TRUE)</f>
        <v>0</v>
      </c>
      <c r="BL14" s="243" t="b" cm="1">
        <f t="array" ref="BL14">IF(Var_Sub.instr.="MKB",IF(Table_LuT_Deelnemers[[#This Row],[SUM Kosten MKBs]]=0,FALSE,Table_LuT_Deelnemers[[#This Row],[SUM Kosten OOs]]/Table_LuT_Deelnemers[[#This Row],[SUM Kosten MKBs]]&lt;=0.5),TRUE)</f>
        <v>1</v>
      </c>
      <c r="BM14" s="8" cm="1">
        <f t="array" aca="1" ref="BM14" ca="1">INDIRECT("Kst_FO_"&amp;Table_LuT_Deelnemers[[#This Row],[Verkorte Referentienaam Deelnemer]])</f>
        <v>0</v>
      </c>
      <c r="BN14" s="8" cm="1">
        <f t="array" aca="1" ref="BN14" ca="1">INDIRECT("Kst_IO_"&amp;Table_LuT_Deelnemers[[#This Row],[Verkorte Referentienaam Deelnemer]])</f>
        <v>0</v>
      </c>
      <c r="BO14" s="8" cm="1">
        <f t="array" aca="1" ref="BO14" ca="1">INDIRECT("Kst_EO_"&amp;Table_LuT_Deelnemers[[#This Row],[Verkorte Referentienaam Deelnemer]])</f>
        <v>0</v>
      </c>
      <c r="BP14" s="8" cm="1">
        <f t="array" aca="1" ref="BP14" ca="1">INDIRECT("Kst_Tot_"&amp;Table_LuT_Deelnemers[[#This Row],[Verkorte Referentienaam Deelnemer]])</f>
        <v>0</v>
      </c>
      <c r="BQ14" s="330" cm="1">
        <f t="array" aca="1" ref="BQ14" ca="1">INDIRECT("'"&amp;A14&amp;"'!Kosten_Apparatuur")</f>
        <v>0</v>
      </c>
      <c r="BR14" s="8" cm="1">
        <f t="array" aca="1" ref="BR14" ca="1">INDIRECT("Max_Sub_FO_"&amp;Table_LuT_Deelnemers[[#This Row],[Verkorte Referentienaam Deelnemer]])</f>
        <v>0</v>
      </c>
      <c r="BS14" s="8" cm="1">
        <f t="array" aca="1" ref="BS14" ca="1">INDIRECT("Max_Sub_IO_"&amp;Table_LuT_Deelnemers[[#This Row],[Verkorte Referentienaam Deelnemer]])</f>
        <v>0</v>
      </c>
      <c r="BT14" s="8" cm="1">
        <f t="array" aca="1" ref="BT14" ca="1">INDIRECT("Max_Sub_EO_"&amp;Table_LuT_Deelnemers[[#This Row],[Verkorte Referentienaam Deelnemer]])</f>
        <v>0</v>
      </c>
      <c r="BU14" s="328" cm="1">
        <f t="array" aca="1" ref="BU14" ca="1">INDIRECT("Max_Sub_"&amp;Table_LuT_Deelnemers[[#This Row],[Verkorte Referentienaam Deelnemer]])</f>
        <v>0</v>
      </c>
      <c r="BV14" s="190" cm="1">
        <f t="array" aca="1" ref="BV14" ca="1">INDIRECT("Cash_"&amp;Table_LuT_Deelnemers[[#This Row],[Verkorte Referentienaam Deelnemer]])</f>
        <v>0</v>
      </c>
      <c r="BW14" s="8" cm="1">
        <f t="array" aca="1" ref="BW14" ca="1">INDIRECT("Cash_Ontvangen_"&amp;Table_LuT_Deelnemers[[#This Row],[Verkorte Referentienaam Deelnemer]])</f>
        <v>0</v>
      </c>
      <c r="BX14" s="8" cm="1">
        <f t="array" aca="1" ref="BX14" ca="1">INDIRECT("In_kind_"&amp;Table_LuT_Deelnemers[[#This Row],[Verkorte Referentienaam Deelnemer]])</f>
        <v>0</v>
      </c>
      <c r="BY14" s="8" cm="1">
        <f t="array" aca="1" ref="BY14" ca="1">INDIRECT("Overige_Subsidies_"&amp;Table_LuT_Deelnemers[[#This Row],[Verkorte Referentienaam Deelnemer]])</f>
        <v>0</v>
      </c>
      <c r="BZ14" s="190" cm="1">
        <f t="array" aca="1" ref="BZ14" ca="1">INDIRECT("Subsidie_FO_"&amp;Table_LuT_Deelnemers[[#This Row],[Verkorte Referentienaam Deelnemer]])</f>
        <v>0</v>
      </c>
      <c r="CA14" s="190" cm="1">
        <f t="array" aca="1" ref="CA14" ca="1">INDIRECT("Subsidie_IO_"&amp;Table_LuT_Deelnemers[[#This Row],[Verkorte Referentienaam Deelnemer]])</f>
        <v>0</v>
      </c>
      <c r="CB14" s="190" cm="1">
        <f t="array" aca="1" ref="CB14" ca="1">INDIRECT("Subsidie_EO_"&amp;Table_LuT_Deelnemers[[#This Row],[Verkorte Referentienaam Deelnemer]])</f>
        <v>0</v>
      </c>
      <c r="CC14" s="8" cm="1">
        <f t="array" aca="1" ref="CC14" ca="1">INDIRECT("Subsidie_"&amp;Table_LuT_Deelnemers[[#This Row],[Verkorte Referentienaam Deelnemer]])</f>
        <v>0</v>
      </c>
      <c r="CD14" s="254" cm="1">
        <f t="array" aca="1" ref="CD14" ca="1">INDIRECT("Fin_Tot_"&amp;Table_LuT_Deelnemers[[#This Row],[Verkorte Referentienaam Deelnemer]])</f>
        <v>0</v>
      </c>
      <c r="CE14" s="8">
        <f ca="1">_xlfn.LET(_xlpm.Var_Delta,Table_LuT_Deelnemers[[#This Row],[Gevraagde Subsidie FO]]-Table_LuT_Deelnemers[[#This Row],[Maximale Subsidie FO - HTSM^overheid]],IF(_xlpm.Var_Delta&gt;0,_xlpm.Var_Delta,0))</f>
        <v>0</v>
      </c>
      <c r="CF14" s="8">
        <f ca="1">_xlfn.LET(_xlpm.Var_Delta,Table_LuT_Deelnemers[[#This Row],[Gevraagde Subsidie IO]]-Table_LuT_Deelnemers[[#This Row],[Maximale Subsidie IO - HTSM^overheid]],IF(_xlpm.Var_Delta&gt;0,_xlpm.Var_Delta,0))</f>
        <v>0</v>
      </c>
      <c r="CG14" s="8">
        <f ca="1">_xlfn.LET(_xlpm.Var_Delta,Table_LuT_Deelnemers[[#This Row],[Gevraagde Subsidie EO]]-Table_LuT_Deelnemers[[#This Row],[Maximale Subsidie EO - HTSM^overheid]],IF(_xlpm.Var_Delta&gt;0,_xlpm.Var_Delta,0))</f>
        <v>0</v>
      </c>
      <c r="CH14" s="8">
        <f ca="1">_xlfn.LET(_xlpm.Var_Delta,Table_LuT_Deelnemers[[#This Row],[Gevraagde Subsidie Totaal]]-Table_LuT_Deelnemers[[#This Row],[Maximale Subsidie Totaal - HTSM^overheid]],IF(_xlpm.Var_Delta&gt;0,_xlpm.Var_Delta,0))</f>
        <v>0</v>
      </c>
      <c r="CI14" s="11">
        <f>SUMIFS(Table_LuT_Deelnemers[Gevraagde Subsidie Totaal],Table_LuT_Deelnemers[Is MKB?],TRUE)</f>
        <v>0</v>
      </c>
      <c r="CJ14" s="11">
        <f>SUMIFS(Table_LuT_Deelnemers[Gevraagde Subsidie Totaal],Table_LuT_Deelnemers[Is OO?],TRUE)</f>
        <v>0</v>
      </c>
      <c r="CK14" s="11" t="b" cm="1">
        <f t="array" ref="CK14">IF(Var_Sub.instr.="MKB",Table_LuT_Deelnemers[[#This Row],[SUM Gevraagde Subsidie MKBs]]&lt;=Var_MaxSub_MKB_call_MKB,TRUE)</f>
        <v>1</v>
      </c>
      <c r="CL14" s="243" t="b" cm="1">
        <f t="array" ref="CL14">IF(Var_Sub.instr.="MKB",Table_LuT_Deelnemers[[#This Row],[SUM Gevraagde Subsidie OOs]]&lt;=Var_MaxSub_MKB_call_OO,TRUE)</f>
        <v>1</v>
      </c>
      <c r="CM14" s="8">
        <f ca="1">SUMIFS(Table_LuT_Begroting_Deelnemers[Maximale Subsidie - overheid],Table_LuT_Begroting_Deelnemers[Verkorte Referentienaam Deelnemer],Table_LuT_Deelnemers[[#This Row],[Verkorte Referentienaam Deelnemer]],Table_LuT_Begroting_Deelnemers[FO | IO | EO],"FO")</f>
        <v>0</v>
      </c>
      <c r="CN14" s="8">
        <f ca="1">SUMIFS(Table_LuT_Begroting_Deelnemers[Maximale Subsidie - overheid],Table_LuT_Begroting_Deelnemers[Verkorte Referentienaam Deelnemer],Table_LuT_Deelnemers[[#This Row],[Verkorte Referentienaam Deelnemer]],Table_LuT_Begroting_Deelnemers[FO | IO | EO],"IO")</f>
        <v>0</v>
      </c>
      <c r="CO14" s="8">
        <f ca="1">SUMIFS(Table_LuT_Begroting_Deelnemers[Maximale Subsidie - overheid],Table_LuT_Begroting_Deelnemers[Verkorte Referentienaam Deelnemer],Table_LuT_Deelnemers[[#This Row],[Verkorte Referentienaam Deelnemer]],Table_LuT_Begroting_Deelnemers[FO | IO | EO],"EO")</f>
        <v>0</v>
      </c>
      <c r="CP14" s="328">
        <f ca="1">SUMIFS(Table_LuT_Begroting_Deelnemers[Maximale Subsidie - overheid],Table_LuT_Begroting_Deelnemers[Verkorte Referentienaam Deelnemer],Table_LuT_Deelnemers[[#This Row],[Verkorte Referentienaam Deelnemer]])</f>
        <v>0</v>
      </c>
      <c r="CQ14" s="8">
        <f ca="1">IF(Table_LuT_Deelnemers[[#This Row],[Is OO?]],Table_LuT_Deelnemers[[#This Row],[Maximale Subsidie FO - overheid]],Table_LuT_Deelnemers[[#This Row],[Maximale Subsidie FO - HTSM]])</f>
        <v>0</v>
      </c>
      <c r="CR14" s="8">
        <f ca="1">IF(Table_LuT_Deelnemers[[#This Row],[Is OO?]],Table_LuT_Deelnemers[[#This Row],[Maximale Subsidie IO - overheid]],Table_LuT_Deelnemers[[#This Row],[Maximale Subsidie IO - HTSM]])</f>
        <v>0</v>
      </c>
      <c r="CS14" s="8">
        <f ca="1">IF(Table_LuT_Deelnemers[[#This Row],[Is OO?]],Table_LuT_Deelnemers[[#This Row],[Maximale Subsidie EO - overheid]],Table_LuT_Deelnemers[[#This Row],[Maximale Subsidie EO - HTSM]])</f>
        <v>0</v>
      </c>
      <c r="CT14" s="328">
        <f ca="1">IF(Table_LuT_Deelnemers[[#This Row],[Is OO?]],Table_LuT_Deelnemers[[#This Row],[Maximale Subsidie Totaal - overheid]],Table_LuT_Deelnemers[[#This Row],[Maximale Subsidie Totaal - HTSM]])</f>
        <v>0</v>
      </c>
      <c r="CU14" s="11">
        <f>SUMIFS(Table_LuT_Deelnemers[Gevraagde Subsidie Totaal],Table_LuT_Deelnemers[Is OO?],TRUE)</f>
        <v>0</v>
      </c>
      <c r="CV14" s="11">
        <f ca="1">SUMIFS(Table_LuT_Begroting_Deelnemers[Maximale Subsidie OO - overheid],Table_LuT_Begroting_Deelnemers[Is OO?],TRUE)</f>
        <v>0</v>
      </c>
      <c r="CW14" s="11">
        <f ca="1">SUMIFS(Table_LuT_Begroting_Deelnemers[Maximale Subsidie OO - HTSM],Table_LuT_Begroting_Deelnemers[Is OO?],TRUE)</f>
        <v>0</v>
      </c>
      <c r="CX14" s="11">
        <f ca="1">SUMIFS(Table_LuT_Begroting_Deelnemers[Maximale Subsidie MKB - HTSM],Table_LuT_Begroting_Deelnemers[Is MKB?],TRUE)</f>
        <v>0</v>
      </c>
      <c r="CY14" s="11">
        <f ca="1">Table_LuT_Deelnemers[[#This Row],[SUM Maximale Subsidie - OO - HTSM]]+Table_LuT_Deelnemers[[#This Row],[SUM Maximale Subsidie - MKB - HTSM]]</f>
        <v>0</v>
      </c>
      <c r="CZ14" s="11">
        <f ca="1">MIN(Table_LuT_Deelnemers[[#This Row],[SUM  Maximale Subsidie - OO - overheid]],Table_LuT_Deelnemers[[#This Row],[SUM Maximale Subsidie - OO+MKB - HTSM]])</f>
        <v>0</v>
      </c>
    </row>
    <row r="15" spans="1:104" ht="15" customHeight="1" x14ac:dyDescent="0.25">
      <c r="A15" s="2" t="s">
        <v>192</v>
      </c>
      <c r="B15" s="2" t="s">
        <v>202</v>
      </c>
      <c r="C15" s="2" t="s">
        <v>212</v>
      </c>
      <c r="D15" s="3" t="str">
        <f>Table_LuT_Deelnemers[[#This Row],[ID Deelnemer]]</f>
        <v>Deelnemer 14</v>
      </c>
      <c r="E15" s="3" t="str" cm="1">
        <f t="array" ref="E15">IF(NOT(Table_LuT_Deelnemers[[#This Row],[DN niet leeg?]]),"",_xlfn.XLOOKUP(Table_LuT_Deelnemers[[#This Row],[ID Deelnemer]],INDEX(Range_Deelnemer_Nrs,,1),INDEX(Range_Deelnemer_Nrs,,2),"",0,1))</f>
        <v/>
      </c>
      <c r="F15" s="3" t="str" cm="1">
        <f t="array" ref="F15">IF(NOT(Table_LuT_Deelnemers[[#This Row],[Type Organisatie niet leeg?]]),"",_xlfn.XLOOKUP(Table_LuT_Deelnemers[[#This Row],[ID Deelnemer]],INDEX(Range_Deelnemer_Nrs,,1),INDEX(Range_Deelnemer_Nrs,,3),"",0,1))</f>
        <v/>
      </c>
      <c r="G15" s="3" t="str" cm="1">
        <f t="array" ref="G15">IF(NOT(Table_LuT_Deelnemers[[#This Row],[Type Organisatie niet leeg?]]),"",_xlfn.XLOOKUP(Table_LuT_Deelnemers[[#This Row],[Type Organisatie]],ValList_Type_Organisatie,Table_Val_List_Type_Org[TO]))</f>
        <v/>
      </c>
      <c r="H15" s="3" t="str" cm="1">
        <f t="array" ref="H15">IF(NOT(Table_LuT_Deelnemers[[#This Row],[KVK niet leeg?]]),"",_xlfn.XLOOKUP(Table_LuT_Deelnemers[[#This Row],[ID Deelnemer]],INDEX(Range_Deelnemer_Nrs,,1),INDEX(Range_Deelnemer_Nrs,,4),"",0,1))</f>
        <v/>
      </c>
      <c r="I15" s="3" t="str" cm="1">
        <f t="array" ref="I15">IF(NOT(Table_LuT_Deelnemers[[#This Row],[DN niet leeg?]]),"",IF(NOT(Table_LuT_Deelnemers[[#This Row],[Is Buitenlandse Organisatie]]),"",_xlfn.XLOOKUP(Table_LuT_Deelnemers[[#This Row],[ID Deelnemer]],INDEX(Range_Deelnemer_Nrs,,1),INDEX(Range_Deelnemer_Nrs,,5),"",0,1)))</f>
        <v/>
      </c>
      <c r="J15" s="3" t="str" cm="1">
        <f t="array" ref="J15">IF(NOT(Table_LuT_Deelnemers[[#This Row],[DN niet leeg?]]),"",_xlfn.XLOOKUP(Table_LuT_Deelnemers[[#This Row],[ID Deelnemer]],INDEX(Range_Deelnemer_Nrs,,1),INDEX(Range_Deelnemer_Nrs,,6),"",0,1)&lt;&gt;"nee")</f>
        <v/>
      </c>
      <c r="K15" s="3" t="str" cm="1">
        <f t="array" ref="K15">IF(NOT(Table_LuT_Deelnemers[[#This Row],[DN niet leeg?]]),"",_xlfn.LET(_xlpm.website,_xlfn.XLOOKUP(Table_LuT_Deelnemers[[#This Row],[ID Deelnemer]],INDEX(Range_Deelnemer_Nrs,,1),INDEX(Range_Deelnemer_Nrs,,7),"",0,1),IF(_xlpm.website=0,"",_xlpm.website)))</f>
        <v/>
      </c>
      <c r="L15" s="19" t="str" cm="1">
        <f t="array" aca="1" ref="L15" ca="1">IF(INDIRECT("'"&amp;Table_LuT_Deelnemers[[#This Row],[Naam Sheet]]&amp;"'!Kostensystematiek")="[Maak een keuze]","",INDIRECT("'"&amp;Table_LuT_Deelnemers[[#This Row],[Naam Sheet]]&amp;"'!Kostensystematiek"))</f>
        <v/>
      </c>
      <c r="M15" s="3" t="b">
        <f>Table_LuT_Deelnemers[[#This Row],[Type Organisatie]]="MKB"</f>
        <v>0</v>
      </c>
      <c r="N15" s="3" t="b">
        <f>Table_LuT_Deelnemers[[#This Row],[Type Organisatie]]="Onderzoeksorganisatie"</f>
        <v>0</v>
      </c>
      <c r="O15" s="3" t="b">
        <f>Table_LuT_Deelnemers[[#This Row],[Type Organisatie]]="Grootbedrijf"</f>
        <v>0</v>
      </c>
      <c r="P15" s="19" t="b">
        <f>Table_LuT_Deelnemers[[#This Row],[Verkorte Referentienaam Deelnemer]]="DN1"</f>
        <v>0</v>
      </c>
      <c r="Q15" s="3" t="b">
        <f t="shared" si="0"/>
        <v>0</v>
      </c>
      <c r="R15" s="3" t="b">
        <f t="shared" si="1"/>
        <v>0</v>
      </c>
      <c r="S15" s="3" t="b" cm="1">
        <f t="array" ref="S15">NOT(ISBLANK(_xlfn.XLOOKUP(Table_LuT_Deelnemers[[#This Row],[ID Deelnemer]],INDEX(Range_Deelnemer_Nrs,,1),INDEX(Range_Deelnemer_Nrs,,2),"",0,1)))</f>
        <v>0</v>
      </c>
      <c r="T15" s="3" t="b" cm="1">
        <f t="array" ref="T15">_xlfn.XLOOKUP(Table_LuT_Deelnemers[[#This Row],[ID Deelnemer]],INDEX(Range_Deelnemer_Nrs,,1),INDEX(Range_Deelnemer_Nrs,,3),"",0,1)&lt;&gt;"[Maak een keuze]"</f>
        <v>0</v>
      </c>
      <c r="U15" s="3" t="b" cm="1">
        <f t="array" ref="U15">NOT(ISBLANK(_xlfn.XLOOKUP(Table_LuT_Deelnemers[[#This Row],[ID Deelnemer]],INDEX(Range_Deelnemer_Nrs,,1),INDEX(Range_Deelnemer_Nrs,,4),"",0,1)))</f>
        <v>0</v>
      </c>
      <c r="V15" s="3" t="b" cm="1">
        <f t="array" ref="V15">NOT(ISBLANK(_xlfn.XLOOKUP(Table_LuT_Deelnemers[[#This Row],[ID Deelnemer]],INDEX(Range_Deelnemer_Nrs,,1),INDEX(Range_Deelnemer_Nrs,,5),"",0,1)))</f>
        <v>0</v>
      </c>
      <c r="W15" s="19" t="b" cm="1">
        <f t="array" aca="1" ref="W15" ca="1">INDIRECT("'"&amp;Table_LuT_Deelnemers[[#This Row],[Naam Sheet]]&amp;"'!Kostensystematiek")&lt;&gt;"[Maak een keuze]"</f>
        <v>0</v>
      </c>
      <c r="X15" s="248" t="b">
        <f>OR(NOT(Table_LuT_Deelnemers[[#This Row],[DN niet leeg?]]),Table_LuT_Deelnemers[[#This Row],[Is OO?]],NOT(Table_LuT_Deelnemers[[#This Row],[Is GB?]]))</f>
        <v>1</v>
      </c>
      <c r="Y15" s="3" t="b">
        <f>OR(Table_LuT_Deelnemers[[#This Row],[Verkorte Referentienaam Deelnemer]]&lt;&gt;"DN1",NOT(Table_LuT_Deelnemers[[#This Row],[Penvoerder niet leeg?]]),AND(Subsidie_instrument&lt;&gt;"[Maak een keuze]",NOT(ISBLANK(Projecttitel)),NOT(ISBLANK(Projectacroniem))))</f>
        <v>1</v>
      </c>
      <c r="Z15" s="3" t="b">
        <f t="shared" si="2"/>
        <v>1</v>
      </c>
      <c r="AA15" s="3" t="b">
        <f t="shared" si="3"/>
        <v>1</v>
      </c>
      <c r="AB15" s="3" t="b">
        <f>OR(Table_LuT_Deelnemers[[#This Row],[Verkorte Referentienaam Deelnemer]]&lt;&gt;"DN1",Table_LuT_Deelnemers[[#This Row],[Penvoerder niet leeg?]],NOT(Table_LuT_Deelnemers[[#This Row],[DN2 niet leeg?]]))</f>
        <v>1</v>
      </c>
      <c r="AC15" s="3" t="b">
        <f>OR(Table_LuT_Deelnemers[[#This Row],[Verkorte Referentienaam Deelnemer]]&lt;&gt;"DN2",NOT(_xlfn.XOR(Table_LuT_Deelnemers[[#This Row],[Penvoerder niet leeg?]],Table_LuT_Deelnemers[[#This Row],[DN2 niet leeg?]])))</f>
        <v>1</v>
      </c>
      <c r="AD15" s="3" t="b">
        <f>OR(Table_LuT_Deelnemers[[#This Row],[Verkorte Referentienaam Deelnemer]]="DN1",NOT(Table_LuT_Deelnemers[[#This Row],[DN niet leeg?]]),AND(S$2:S14))</f>
        <v>1</v>
      </c>
      <c r="AE15"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15" s="3" t="b">
        <f>OR(NOT(Table_LuT_Deelnemers[[#This Row],[DN niet leeg?]]),NOT(Table_LuT_Deelnemers[[#This Row],[DN2 niet leeg?]]),OR(Table_LuT_Deelnemers[Is OO?]))</f>
        <v>1</v>
      </c>
      <c r="AG15" s="3" t="b">
        <f>OR(Table_LuT_Deelnemers[[#This Row],[Verkorte Referentienaam Deelnemer]]="DN1",NOT(_xlfn.XOR(Table_LuT_Deelnemers[[#This Row],[DN niet leeg?]],Table_LuT_Deelnemers[[#This Row],[Type Organisatie niet leeg?]])))</f>
        <v>1</v>
      </c>
      <c r="AH15" s="3" t="b">
        <f>OR(Table_LuT_Deelnemers[[#This Row],[Verkorte Referentienaam Deelnemer]]&lt;&gt;"DN1",NOT(Table_LuT_Deelnemers[[#This Row],[Penvoerder niet leeg?]]),NOT(Table_LuT_Deelnemers[[#This Row],[Is Buitenlandse Organisatie]]))</f>
        <v>1</v>
      </c>
      <c r="AI15" s="3" t="b">
        <f>OR(NOT(Table_LuT_Deelnemers[[#This Row],[DN niet leeg?]]),Table_LuT_Deelnemers[[#This Row],[Is Buitenlandse Organisatie]],Table_LuT_Deelnemers[[#This Row],[KVK niet leeg?]])</f>
        <v>1</v>
      </c>
      <c r="AJ15" s="3" t="b">
        <f>OR(NOT(Table_LuT_Deelnemers[[#This Row],[DN niet leeg?]]),Table_LuT_Deelnemers[[#This Row],[Is Buitenlandse Organisatie]],AND(Table_LuT_Deelnemers[[#This Row],[KVK niet leeg?]],LEN(Table_LuT_Deelnemers[[#This Row],[KVK-nummer]])&lt;=8))</f>
        <v>1</v>
      </c>
      <c r="AK15" s="3" t="b">
        <f>OR(NOT(Table_LuT_Deelnemers[[#This Row],[DN niet leeg?]]),NOT(Table_LuT_Deelnemers[[#This Row],[Is Buitenlandse Organisatie]]),NOT(Table_LuT_Deelnemers[[#This Row],[KVK niet leeg?]]))</f>
        <v>1</v>
      </c>
      <c r="AL15" s="3" t="b">
        <f ca="1">OR(NOT(Table_LuT_Deelnemers[[#This Row],[DN niet leeg?]]),Table_LuT_Deelnemers[[#This Row],[Kostensystematiek niet leeg?]])</f>
        <v>1</v>
      </c>
      <c r="AM15" s="3" t="b" cm="1">
        <f t="array" aca="1" ref="AM15" ca="1">INDIRECT("'"&amp;Table_LuT_Deelnemers[[#This Row],[ID Deelnemer]]&amp;"'!Check_Vaste_uurtarief")</f>
        <v>1</v>
      </c>
      <c r="AN15" s="3" t="b" cm="1">
        <f t="array" ref="AN15">OR(NOT(Table_LuT_Deelnemers[[#This Row],[Is Penvoerder?]]),NOT(Table_LuT_Deelnemers[[#This Row],[DN niet leeg?]]),AND(OR(Var_Sub.instr.="MKB",Table_LuT_Deelnemers[[#This Row],[Is OO?]]),OR(Var_Sub.instr.&lt;&gt;"MKB",Table_LuT_Deelnemers[[#This Row],[Is MKB?]])))</f>
        <v>1</v>
      </c>
      <c r="AO15" s="3" t="b" cm="1">
        <f t="array" ref="AO15">OR(NOT(Table_LuT_Deelnemers[[#This Row],[DN niet leeg?]]),Var_Sub.instr.&lt;&gt;"MKB",Table_LuT_Deelnemers[[#This Row],[Is OO?]],Table_LuT_Deelnemers[[#This Row],[Is MKB?]])</f>
        <v>1</v>
      </c>
      <c r="AP15" s="3" t="b" cm="1">
        <f t="array" aca="1" ref="AP15" ca="1">IFERROR(Minimale_Cash_CoF&lt;=SUMIFS(Table_LuT_Deelnemers[Cash Bijdrage],Table_LuT_Deelnemers[Type Organisatie],"&lt;&gt;Onderzoeksorganisatie"),FALSE)</f>
        <v>1</v>
      </c>
      <c r="AQ15" s="3" t="b" cm="1">
        <f t="array" aca="1" ref="AQ15" ca="1">IFERROR(Minimale_Cash_CoF&lt;=SUMIFS(Table_LuT_Deelnemers[Cash Ontvangen],Table_LuT_Deelnemers[Type Organisatie],"Onderzoeksorganisatie"),FALSE)</f>
        <v>1</v>
      </c>
      <c r="AR15" s="3" t="b" cm="1">
        <f t="array" aca="1" ref="AR15" ca="1">AND(((Table_LuT_Deelnemers[Cash Bijdrage])=0) + ((Table_LuT_Deelnemers[Cash Ontvangen])=0))</f>
        <v>1</v>
      </c>
      <c r="AS15" s="3" t="b">
        <f ca="1">IFERROR(ABS(Table_LuT_Deelnemers[[#Totals],[Cash Bijdrage]]-Table_LuT_Deelnemers[[#Totals],[Cash Ontvangen]])&lt;1,FALSE)</f>
        <v>1</v>
      </c>
      <c r="AT15" s="3" t="b">
        <f ca="1">IFERROR(Table_LuT_Deelnemers[[#This Row],[Maximale Subsidie FO - HTSM^overheid]]&gt;=Table_LuT_Deelnemers[[#This Row],[Gevraagde Subsidie FO]],FALSE)</f>
        <v>1</v>
      </c>
      <c r="AU15" s="3" t="b">
        <f ca="1">IFERROR(Table_LuT_Deelnemers[[#This Row],[Maximale Subsidie IO - HTSM^overheid]]&gt;=Table_LuT_Deelnemers[[#This Row],[Gevraagde Subsidie IO]],FALSE)</f>
        <v>1</v>
      </c>
      <c r="AV15" s="3" t="b">
        <f ca="1">IFERROR(Table_LuT_Deelnemers[[#This Row],[Maximale Subsidie EO - HTSM^overheid]]&gt;=Table_LuT_Deelnemers[[#This Row],[Gevraagde Subsidie EO]],FALSE)</f>
        <v>1</v>
      </c>
      <c r="AW15" s="3" t="b" cm="1">
        <f t="array" aca="1" ref="AW15"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15" s="3" t="b">
        <f ca="1">IFERROR(Table_LuT_Deelnemers[[#Totals],[Maximale Subsidie Totaal - HTSM]]&gt;=Table_LuT_Deelnemers[[#Totals],[Gevraagde Subsidie Totaal]],FALSE)</f>
        <v>1</v>
      </c>
      <c r="AY15" s="3" t="b" cm="1">
        <f t="array" aca="1" ref="AY15" ca="1">OR(NOT(Table_LuT_Deelnemers[[#This Row],[DN niet leeg?]]),Var_Sub.instr.="MKB",Table_LuT_Deelnemers[[#This Row],[Type Organisatie]]="Onderzoeksorganisatie",Table_LuT_Deelnemers[[#This Row],[Gevraagde Subsidie Totaal]]=0)</f>
        <v>1</v>
      </c>
      <c r="AZ15" s="3" t="b" cm="1">
        <f t="array" aca="1" ref="AZ15"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15" s="3" t="b" cm="1">
        <f t="array" aca="1" ref="BA15" ca="1">IFERROR(AND(ABS((Table_LuT_Deelnemers[Kosten Totaal])-(Table_LuT_Deelnemers[Financiering Totaal]))&lt;1),FALSE)</f>
        <v>1</v>
      </c>
      <c r="BB15" s="3" t="b">
        <f ca="1">IFERROR(ABS(Table_LuT_Deelnemers[[#Totals],[Financiering Totaal]]-Table_LuT_Deelnemers[[#Totals],[Kosten Totaal]])&lt;1,FALSE)</f>
        <v>1</v>
      </c>
      <c r="BC15" s="3" t="b" cm="1">
        <f t="array" aca="1" ref="BC15" ca="1">OR(Var_Sub.instr.&lt;&gt;"MKB",AND(Table_LuT_Deelnemers[Kosten FO]=0,Table_LuT_Deelnemers[Kosten EO]=0))</f>
        <v>1</v>
      </c>
      <c r="BD15" s="3" t="b" cm="1">
        <f t="array" ref="BD15">IF(Var_Sub.instr.="MKB",AND(Table_LuT_Deelnemers[Verhouding SUM kosten OOs / SUM kosten MKBs is OK?]),TRUE)</f>
        <v>1</v>
      </c>
      <c r="BE15" s="3" t="b" cm="1">
        <f t="array" ref="BE15">IF(Var_Sub.instr.="MKB",AND(Table_LuT_Deelnemers[SUM Maximale Subsidie MKBs &lt;= € 300,000, als MKB-call],Table_LuT_Deelnemers[SUM Maximale Subsidie OOs &lt;= € 150,000, als MKB-call]),TRUE)</f>
        <v>1</v>
      </c>
      <c r="BF15" s="3" t="b" cm="1">
        <f t="array" aca="1" ref="BF15" ca="1">AND(( (Table_LuT_Deelnemers[Naam Organisatie]&lt;&gt;"") + ((Table_LuT_Deelnemers[Cash Bijdrage]=0) * (Table_LuT_Deelnemers[Financiering Totaal]=0)) ))</f>
        <v>1</v>
      </c>
      <c r="BG15" s="3" t="b" cm="1">
        <f t="array" aca="1" ref="BG15" ca="1">IFERROR(AND((Table_LuT_Deelnemers[[Cash Bijdrage]:[Gevraagde Subsidie EO]]="") + (ISNUMBER(Table_LuT_Deelnemers[[Cash Bijdrage]:[Gevraagde Subsidie EO]]) * (Table_LuT_Deelnemers[[Cash Bijdrage]:[Gevraagde Subsidie EO]]&gt;=0) * (MOD(Table_LuT_Deelnemers[[Cash Bijdrage]:[Gevraagde Subsidie EO]],1)=0))),FALSE)</f>
        <v>1</v>
      </c>
      <c r="BH15" s="246" t="b">
        <f t="shared" si="4"/>
        <v>0</v>
      </c>
      <c r="BI15" s="19" t="b">
        <f ca="1">AND(Table_LuT_Deelnemers[[#This Row],[Check 005]:[Check 990]])</f>
        <v>0</v>
      </c>
      <c r="BJ15" s="11">
        <f>SUMIFS(Table_LuT_Deelnemers[Kosten Totaal],Table_LuT_Deelnemers[Is MKB?],TRUE)</f>
        <v>0</v>
      </c>
      <c r="BK15" s="11">
        <f>SUMIFS(Table_LuT_Deelnemers[Kosten Totaal],Table_LuT_Deelnemers[Is OO?],TRUE)</f>
        <v>0</v>
      </c>
      <c r="BL15" s="243" t="b" cm="1">
        <f t="array" ref="BL15">IF(Var_Sub.instr.="MKB",IF(Table_LuT_Deelnemers[[#This Row],[SUM Kosten MKBs]]=0,FALSE,Table_LuT_Deelnemers[[#This Row],[SUM Kosten OOs]]/Table_LuT_Deelnemers[[#This Row],[SUM Kosten MKBs]]&lt;=0.5),TRUE)</f>
        <v>1</v>
      </c>
      <c r="BM15" s="8" cm="1">
        <f t="array" aca="1" ref="BM15" ca="1">INDIRECT("Kst_FO_"&amp;Table_LuT_Deelnemers[[#This Row],[Verkorte Referentienaam Deelnemer]])</f>
        <v>0</v>
      </c>
      <c r="BN15" s="8" cm="1">
        <f t="array" aca="1" ref="BN15" ca="1">INDIRECT("Kst_IO_"&amp;Table_LuT_Deelnemers[[#This Row],[Verkorte Referentienaam Deelnemer]])</f>
        <v>0</v>
      </c>
      <c r="BO15" s="8" cm="1">
        <f t="array" aca="1" ref="BO15" ca="1">INDIRECT("Kst_EO_"&amp;Table_LuT_Deelnemers[[#This Row],[Verkorte Referentienaam Deelnemer]])</f>
        <v>0</v>
      </c>
      <c r="BP15" s="8" cm="1">
        <f t="array" aca="1" ref="BP15" ca="1">INDIRECT("Kst_Tot_"&amp;Table_LuT_Deelnemers[[#This Row],[Verkorte Referentienaam Deelnemer]])</f>
        <v>0</v>
      </c>
      <c r="BQ15" s="330" cm="1">
        <f t="array" aca="1" ref="BQ15" ca="1">INDIRECT("'"&amp;A15&amp;"'!Kosten_Apparatuur")</f>
        <v>0</v>
      </c>
      <c r="BR15" s="8" cm="1">
        <f t="array" aca="1" ref="BR15" ca="1">INDIRECT("Max_Sub_FO_"&amp;Table_LuT_Deelnemers[[#This Row],[Verkorte Referentienaam Deelnemer]])</f>
        <v>0</v>
      </c>
      <c r="BS15" s="8" cm="1">
        <f t="array" aca="1" ref="BS15" ca="1">INDIRECT("Max_Sub_IO_"&amp;Table_LuT_Deelnemers[[#This Row],[Verkorte Referentienaam Deelnemer]])</f>
        <v>0</v>
      </c>
      <c r="BT15" s="8" cm="1">
        <f t="array" aca="1" ref="BT15" ca="1">INDIRECT("Max_Sub_EO_"&amp;Table_LuT_Deelnemers[[#This Row],[Verkorte Referentienaam Deelnemer]])</f>
        <v>0</v>
      </c>
      <c r="BU15" s="328" cm="1">
        <f t="array" aca="1" ref="BU15" ca="1">INDIRECT("Max_Sub_"&amp;Table_LuT_Deelnemers[[#This Row],[Verkorte Referentienaam Deelnemer]])</f>
        <v>0</v>
      </c>
      <c r="BV15" s="190" cm="1">
        <f t="array" aca="1" ref="BV15" ca="1">INDIRECT("Cash_"&amp;Table_LuT_Deelnemers[[#This Row],[Verkorte Referentienaam Deelnemer]])</f>
        <v>0</v>
      </c>
      <c r="BW15" s="8" cm="1">
        <f t="array" aca="1" ref="BW15" ca="1">INDIRECT("Cash_Ontvangen_"&amp;Table_LuT_Deelnemers[[#This Row],[Verkorte Referentienaam Deelnemer]])</f>
        <v>0</v>
      </c>
      <c r="BX15" s="8" cm="1">
        <f t="array" aca="1" ref="BX15" ca="1">INDIRECT("In_kind_"&amp;Table_LuT_Deelnemers[[#This Row],[Verkorte Referentienaam Deelnemer]])</f>
        <v>0</v>
      </c>
      <c r="BY15" s="8" cm="1">
        <f t="array" aca="1" ref="BY15" ca="1">INDIRECT("Overige_Subsidies_"&amp;Table_LuT_Deelnemers[[#This Row],[Verkorte Referentienaam Deelnemer]])</f>
        <v>0</v>
      </c>
      <c r="BZ15" s="190" cm="1">
        <f t="array" aca="1" ref="BZ15" ca="1">INDIRECT("Subsidie_FO_"&amp;Table_LuT_Deelnemers[[#This Row],[Verkorte Referentienaam Deelnemer]])</f>
        <v>0</v>
      </c>
      <c r="CA15" s="190" cm="1">
        <f t="array" aca="1" ref="CA15" ca="1">INDIRECT("Subsidie_IO_"&amp;Table_LuT_Deelnemers[[#This Row],[Verkorte Referentienaam Deelnemer]])</f>
        <v>0</v>
      </c>
      <c r="CB15" s="190" cm="1">
        <f t="array" aca="1" ref="CB15" ca="1">INDIRECT("Subsidie_EO_"&amp;Table_LuT_Deelnemers[[#This Row],[Verkorte Referentienaam Deelnemer]])</f>
        <v>0</v>
      </c>
      <c r="CC15" s="8" cm="1">
        <f t="array" aca="1" ref="CC15" ca="1">INDIRECT("Subsidie_"&amp;Table_LuT_Deelnemers[[#This Row],[Verkorte Referentienaam Deelnemer]])</f>
        <v>0</v>
      </c>
      <c r="CD15" s="254" cm="1">
        <f t="array" aca="1" ref="CD15" ca="1">INDIRECT("Fin_Tot_"&amp;Table_LuT_Deelnemers[[#This Row],[Verkorte Referentienaam Deelnemer]])</f>
        <v>0</v>
      </c>
      <c r="CE15" s="8">
        <f ca="1">_xlfn.LET(_xlpm.Var_Delta,Table_LuT_Deelnemers[[#This Row],[Gevraagde Subsidie FO]]-Table_LuT_Deelnemers[[#This Row],[Maximale Subsidie FO - HTSM^overheid]],IF(_xlpm.Var_Delta&gt;0,_xlpm.Var_Delta,0))</f>
        <v>0</v>
      </c>
      <c r="CF15" s="8">
        <f ca="1">_xlfn.LET(_xlpm.Var_Delta,Table_LuT_Deelnemers[[#This Row],[Gevraagde Subsidie IO]]-Table_LuT_Deelnemers[[#This Row],[Maximale Subsidie IO - HTSM^overheid]],IF(_xlpm.Var_Delta&gt;0,_xlpm.Var_Delta,0))</f>
        <v>0</v>
      </c>
      <c r="CG15" s="8">
        <f ca="1">_xlfn.LET(_xlpm.Var_Delta,Table_LuT_Deelnemers[[#This Row],[Gevraagde Subsidie EO]]-Table_LuT_Deelnemers[[#This Row],[Maximale Subsidie EO - HTSM^overheid]],IF(_xlpm.Var_Delta&gt;0,_xlpm.Var_Delta,0))</f>
        <v>0</v>
      </c>
      <c r="CH15" s="8">
        <f ca="1">_xlfn.LET(_xlpm.Var_Delta,Table_LuT_Deelnemers[[#This Row],[Gevraagde Subsidie Totaal]]-Table_LuT_Deelnemers[[#This Row],[Maximale Subsidie Totaal - HTSM^overheid]],IF(_xlpm.Var_Delta&gt;0,_xlpm.Var_Delta,0))</f>
        <v>0</v>
      </c>
      <c r="CI15" s="11">
        <f>SUMIFS(Table_LuT_Deelnemers[Gevraagde Subsidie Totaal],Table_LuT_Deelnemers[Is MKB?],TRUE)</f>
        <v>0</v>
      </c>
      <c r="CJ15" s="11">
        <f>SUMIFS(Table_LuT_Deelnemers[Gevraagde Subsidie Totaal],Table_LuT_Deelnemers[Is OO?],TRUE)</f>
        <v>0</v>
      </c>
      <c r="CK15" s="11" t="b" cm="1">
        <f t="array" ref="CK15">IF(Var_Sub.instr.="MKB",Table_LuT_Deelnemers[[#This Row],[SUM Gevraagde Subsidie MKBs]]&lt;=Var_MaxSub_MKB_call_MKB,TRUE)</f>
        <v>1</v>
      </c>
      <c r="CL15" s="243" t="b" cm="1">
        <f t="array" ref="CL15">IF(Var_Sub.instr.="MKB",Table_LuT_Deelnemers[[#This Row],[SUM Gevraagde Subsidie OOs]]&lt;=Var_MaxSub_MKB_call_OO,TRUE)</f>
        <v>1</v>
      </c>
      <c r="CM15" s="8">
        <f ca="1">SUMIFS(Table_LuT_Begroting_Deelnemers[Maximale Subsidie - overheid],Table_LuT_Begroting_Deelnemers[Verkorte Referentienaam Deelnemer],Table_LuT_Deelnemers[[#This Row],[Verkorte Referentienaam Deelnemer]],Table_LuT_Begroting_Deelnemers[FO | IO | EO],"FO")</f>
        <v>0</v>
      </c>
      <c r="CN15" s="8">
        <f ca="1">SUMIFS(Table_LuT_Begroting_Deelnemers[Maximale Subsidie - overheid],Table_LuT_Begroting_Deelnemers[Verkorte Referentienaam Deelnemer],Table_LuT_Deelnemers[[#This Row],[Verkorte Referentienaam Deelnemer]],Table_LuT_Begroting_Deelnemers[FO | IO | EO],"IO")</f>
        <v>0</v>
      </c>
      <c r="CO15" s="8">
        <f ca="1">SUMIFS(Table_LuT_Begroting_Deelnemers[Maximale Subsidie - overheid],Table_LuT_Begroting_Deelnemers[Verkorte Referentienaam Deelnemer],Table_LuT_Deelnemers[[#This Row],[Verkorte Referentienaam Deelnemer]],Table_LuT_Begroting_Deelnemers[FO | IO | EO],"EO")</f>
        <v>0</v>
      </c>
      <c r="CP15" s="328">
        <f ca="1">SUMIFS(Table_LuT_Begroting_Deelnemers[Maximale Subsidie - overheid],Table_LuT_Begroting_Deelnemers[Verkorte Referentienaam Deelnemer],Table_LuT_Deelnemers[[#This Row],[Verkorte Referentienaam Deelnemer]])</f>
        <v>0</v>
      </c>
      <c r="CQ15" s="8">
        <f ca="1">IF(Table_LuT_Deelnemers[[#This Row],[Is OO?]],Table_LuT_Deelnemers[[#This Row],[Maximale Subsidie FO - overheid]],Table_LuT_Deelnemers[[#This Row],[Maximale Subsidie FO - HTSM]])</f>
        <v>0</v>
      </c>
      <c r="CR15" s="8">
        <f ca="1">IF(Table_LuT_Deelnemers[[#This Row],[Is OO?]],Table_LuT_Deelnemers[[#This Row],[Maximale Subsidie IO - overheid]],Table_LuT_Deelnemers[[#This Row],[Maximale Subsidie IO - HTSM]])</f>
        <v>0</v>
      </c>
      <c r="CS15" s="8">
        <f ca="1">IF(Table_LuT_Deelnemers[[#This Row],[Is OO?]],Table_LuT_Deelnemers[[#This Row],[Maximale Subsidie EO - overheid]],Table_LuT_Deelnemers[[#This Row],[Maximale Subsidie EO - HTSM]])</f>
        <v>0</v>
      </c>
      <c r="CT15" s="328">
        <f ca="1">IF(Table_LuT_Deelnemers[[#This Row],[Is OO?]],Table_LuT_Deelnemers[[#This Row],[Maximale Subsidie Totaal - overheid]],Table_LuT_Deelnemers[[#This Row],[Maximale Subsidie Totaal - HTSM]])</f>
        <v>0</v>
      </c>
      <c r="CU15" s="11">
        <f>SUMIFS(Table_LuT_Deelnemers[Gevraagde Subsidie Totaal],Table_LuT_Deelnemers[Is OO?],TRUE)</f>
        <v>0</v>
      </c>
      <c r="CV15" s="11">
        <f ca="1">SUMIFS(Table_LuT_Begroting_Deelnemers[Maximale Subsidie OO - overheid],Table_LuT_Begroting_Deelnemers[Is OO?],TRUE)</f>
        <v>0</v>
      </c>
      <c r="CW15" s="11">
        <f ca="1">SUMIFS(Table_LuT_Begroting_Deelnemers[Maximale Subsidie OO - HTSM],Table_LuT_Begroting_Deelnemers[Is OO?],TRUE)</f>
        <v>0</v>
      </c>
      <c r="CX15" s="11">
        <f ca="1">SUMIFS(Table_LuT_Begroting_Deelnemers[Maximale Subsidie MKB - HTSM],Table_LuT_Begroting_Deelnemers[Is MKB?],TRUE)</f>
        <v>0</v>
      </c>
      <c r="CY15" s="11">
        <f ca="1">Table_LuT_Deelnemers[[#This Row],[SUM Maximale Subsidie - OO - HTSM]]+Table_LuT_Deelnemers[[#This Row],[SUM Maximale Subsidie - MKB - HTSM]]</f>
        <v>0</v>
      </c>
      <c r="CZ15" s="11">
        <f ca="1">MIN(Table_LuT_Deelnemers[[#This Row],[SUM  Maximale Subsidie - OO - overheid]],Table_LuT_Deelnemers[[#This Row],[SUM Maximale Subsidie - OO+MKB - HTSM]])</f>
        <v>0</v>
      </c>
    </row>
    <row r="16" spans="1:104" ht="15" customHeight="1" x14ac:dyDescent="0.25">
      <c r="A16" s="2" t="s">
        <v>193</v>
      </c>
      <c r="B16" s="2" t="s">
        <v>203</v>
      </c>
      <c r="C16" s="2" t="s">
        <v>213</v>
      </c>
      <c r="D16" s="3" t="str">
        <f>Table_LuT_Deelnemers[[#This Row],[ID Deelnemer]]</f>
        <v>Deelnemer 15</v>
      </c>
      <c r="E16" s="3" t="str" cm="1">
        <f t="array" ref="E16">IF(NOT(Table_LuT_Deelnemers[[#This Row],[DN niet leeg?]]),"",_xlfn.XLOOKUP(Table_LuT_Deelnemers[[#This Row],[ID Deelnemer]],INDEX(Range_Deelnemer_Nrs,,1),INDEX(Range_Deelnemer_Nrs,,2),"",0,1))</f>
        <v/>
      </c>
      <c r="F16" s="3" t="str" cm="1">
        <f t="array" ref="F16">IF(NOT(Table_LuT_Deelnemers[[#This Row],[Type Organisatie niet leeg?]]),"",_xlfn.XLOOKUP(Table_LuT_Deelnemers[[#This Row],[ID Deelnemer]],INDEX(Range_Deelnemer_Nrs,,1),INDEX(Range_Deelnemer_Nrs,,3),"",0,1))</f>
        <v/>
      </c>
      <c r="G16" s="3" t="str" cm="1">
        <f t="array" ref="G16">IF(NOT(Table_LuT_Deelnemers[[#This Row],[Type Organisatie niet leeg?]]),"",_xlfn.XLOOKUP(Table_LuT_Deelnemers[[#This Row],[Type Organisatie]],ValList_Type_Organisatie,Table_Val_List_Type_Org[TO]))</f>
        <v/>
      </c>
      <c r="H16" s="3" t="str" cm="1">
        <f t="array" ref="H16">IF(NOT(Table_LuT_Deelnemers[[#This Row],[KVK niet leeg?]]),"",_xlfn.XLOOKUP(Table_LuT_Deelnemers[[#This Row],[ID Deelnemer]],INDEX(Range_Deelnemer_Nrs,,1),INDEX(Range_Deelnemer_Nrs,,4),"",0,1))</f>
        <v/>
      </c>
      <c r="I16" s="3" t="str" cm="1">
        <f t="array" ref="I16">IF(NOT(Table_LuT_Deelnemers[[#This Row],[DN niet leeg?]]),"",IF(NOT(Table_LuT_Deelnemers[[#This Row],[Is Buitenlandse Organisatie]]),"",_xlfn.XLOOKUP(Table_LuT_Deelnemers[[#This Row],[ID Deelnemer]],INDEX(Range_Deelnemer_Nrs,,1),INDEX(Range_Deelnemer_Nrs,,5),"",0,1)))</f>
        <v/>
      </c>
      <c r="J16" s="3" t="str" cm="1">
        <f t="array" ref="J16">IF(NOT(Table_LuT_Deelnemers[[#This Row],[DN niet leeg?]]),"",_xlfn.XLOOKUP(Table_LuT_Deelnemers[[#This Row],[ID Deelnemer]],INDEX(Range_Deelnemer_Nrs,,1),INDEX(Range_Deelnemer_Nrs,,6),"",0,1)&lt;&gt;"nee")</f>
        <v/>
      </c>
      <c r="K16" s="3" t="str" cm="1">
        <f t="array" ref="K16">IF(NOT(Table_LuT_Deelnemers[[#This Row],[DN niet leeg?]]),"",_xlfn.LET(_xlpm.website,_xlfn.XLOOKUP(Table_LuT_Deelnemers[[#This Row],[ID Deelnemer]],INDEX(Range_Deelnemer_Nrs,,1),INDEX(Range_Deelnemer_Nrs,,7),"",0,1),IF(_xlpm.website=0,"",_xlpm.website)))</f>
        <v/>
      </c>
      <c r="L16" s="19" t="str" cm="1">
        <f t="array" aca="1" ref="L16" ca="1">IF(INDIRECT("'"&amp;Table_LuT_Deelnemers[[#This Row],[Naam Sheet]]&amp;"'!Kostensystematiek")="[Maak een keuze]","",INDIRECT("'"&amp;Table_LuT_Deelnemers[[#This Row],[Naam Sheet]]&amp;"'!Kostensystematiek"))</f>
        <v/>
      </c>
      <c r="M16" s="3" t="b">
        <f>Table_LuT_Deelnemers[[#This Row],[Type Organisatie]]="MKB"</f>
        <v>0</v>
      </c>
      <c r="N16" s="3" t="b">
        <f>Table_LuT_Deelnemers[[#This Row],[Type Organisatie]]="Onderzoeksorganisatie"</f>
        <v>0</v>
      </c>
      <c r="O16" s="3" t="b">
        <f>Table_LuT_Deelnemers[[#This Row],[Type Organisatie]]="Grootbedrijf"</f>
        <v>0</v>
      </c>
      <c r="P16" s="19" t="b">
        <f>Table_LuT_Deelnemers[[#This Row],[Verkorte Referentienaam Deelnemer]]="DN1"</f>
        <v>0</v>
      </c>
      <c r="Q16" s="3" t="b">
        <f t="shared" si="0"/>
        <v>0</v>
      </c>
      <c r="R16" s="3" t="b">
        <f t="shared" si="1"/>
        <v>0</v>
      </c>
      <c r="S16" s="3" t="b" cm="1">
        <f t="array" ref="S16">NOT(ISBLANK(_xlfn.XLOOKUP(Table_LuT_Deelnemers[[#This Row],[ID Deelnemer]],INDEX(Range_Deelnemer_Nrs,,1),INDEX(Range_Deelnemer_Nrs,,2),"",0,1)))</f>
        <v>0</v>
      </c>
      <c r="T16" s="3" t="b" cm="1">
        <f t="array" ref="T16">_xlfn.XLOOKUP(Table_LuT_Deelnemers[[#This Row],[ID Deelnemer]],INDEX(Range_Deelnemer_Nrs,,1),INDEX(Range_Deelnemer_Nrs,,3),"",0,1)&lt;&gt;"[Maak een keuze]"</f>
        <v>0</v>
      </c>
      <c r="U16" s="3" t="b" cm="1">
        <f t="array" ref="U16">NOT(ISBLANK(_xlfn.XLOOKUP(Table_LuT_Deelnemers[[#This Row],[ID Deelnemer]],INDEX(Range_Deelnemer_Nrs,,1),INDEX(Range_Deelnemer_Nrs,,4),"",0,1)))</f>
        <v>0</v>
      </c>
      <c r="V16" s="3" t="b" cm="1">
        <f t="array" ref="V16">NOT(ISBLANK(_xlfn.XLOOKUP(Table_LuT_Deelnemers[[#This Row],[ID Deelnemer]],INDEX(Range_Deelnemer_Nrs,,1),INDEX(Range_Deelnemer_Nrs,,5),"",0,1)))</f>
        <v>0</v>
      </c>
      <c r="W16" s="19" t="b" cm="1">
        <f t="array" aca="1" ref="W16" ca="1">INDIRECT("'"&amp;Table_LuT_Deelnemers[[#This Row],[Naam Sheet]]&amp;"'!Kostensystematiek")&lt;&gt;"[Maak een keuze]"</f>
        <v>0</v>
      </c>
      <c r="X16" s="248" t="b">
        <f>OR(NOT(Table_LuT_Deelnemers[[#This Row],[DN niet leeg?]]),Table_LuT_Deelnemers[[#This Row],[Is OO?]],NOT(Table_LuT_Deelnemers[[#This Row],[Is GB?]]))</f>
        <v>1</v>
      </c>
      <c r="Y16" s="3" t="b">
        <f>OR(Table_LuT_Deelnemers[[#This Row],[Verkorte Referentienaam Deelnemer]]&lt;&gt;"DN1",NOT(Table_LuT_Deelnemers[[#This Row],[Penvoerder niet leeg?]]),AND(Subsidie_instrument&lt;&gt;"[Maak een keuze]",NOT(ISBLANK(Projecttitel)),NOT(ISBLANK(Projectacroniem))))</f>
        <v>1</v>
      </c>
      <c r="Z16" s="3" t="b">
        <f t="shared" si="2"/>
        <v>1</v>
      </c>
      <c r="AA16" s="3" t="b">
        <f t="shared" si="3"/>
        <v>1</v>
      </c>
      <c r="AB16" s="3" t="b">
        <f>OR(Table_LuT_Deelnemers[[#This Row],[Verkorte Referentienaam Deelnemer]]&lt;&gt;"DN1",Table_LuT_Deelnemers[[#This Row],[Penvoerder niet leeg?]],NOT(Table_LuT_Deelnemers[[#This Row],[DN2 niet leeg?]]))</f>
        <v>1</v>
      </c>
      <c r="AC16" s="3" t="b">
        <f>OR(Table_LuT_Deelnemers[[#This Row],[Verkorte Referentienaam Deelnemer]]&lt;&gt;"DN2",NOT(_xlfn.XOR(Table_LuT_Deelnemers[[#This Row],[Penvoerder niet leeg?]],Table_LuT_Deelnemers[[#This Row],[DN2 niet leeg?]])))</f>
        <v>1</v>
      </c>
      <c r="AD16" s="3" t="b">
        <f>OR(Table_LuT_Deelnemers[[#This Row],[Verkorte Referentienaam Deelnemer]]="DN1",NOT(Table_LuT_Deelnemers[[#This Row],[DN niet leeg?]]),AND(S$2:S15))</f>
        <v>1</v>
      </c>
      <c r="AE16"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16" s="3" t="b">
        <f>OR(NOT(Table_LuT_Deelnemers[[#This Row],[DN niet leeg?]]),NOT(Table_LuT_Deelnemers[[#This Row],[DN2 niet leeg?]]),OR(Table_LuT_Deelnemers[Is OO?]))</f>
        <v>1</v>
      </c>
      <c r="AG16" s="3" t="b">
        <f>OR(Table_LuT_Deelnemers[[#This Row],[Verkorte Referentienaam Deelnemer]]="DN1",NOT(_xlfn.XOR(Table_LuT_Deelnemers[[#This Row],[DN niet leeg?]],Table_LuT_Deelnemers[[#This Row],[Type Organisatie niet leeg?]])))</f>
        <v>1</v>
      </c>
      <c r="AH16" s="3" t="b">
        <f>OR(Table_LuT_Deelnemers[[#This Row],[Verkorte Referentienaam Deelnemer]]&lt;&gt;"DN1",NOT(Table_LuT_Deelnemers[[#This Row],[Penvoerder niet leeg?]]),NOT(Table_LuT_Deelnemers[[#This Row],[Is Buitenlandse Organisatie]]))</f>
        <v>1</v>
      </c>
      <c r="AI16" s="3" t="b">
        <f>OR(NOT(Table_LuT_Deelnemers[[#This Row],[DN niet leeg?]]),Table_LuT_Deelnemers[[#This Row],[Is Buitenlandse Organisatie]],Table_LuT_Deelnemers[[#This Row],[KVK niet leeg?]])</f>
        <v>1</v>
      </c>
      <c r="AJ16" s="3" t="b">
        <f>OR(NOT(Table_LuT_Deelnemers[[#This Row],[DN niet leeg?]]),Table_LuT_Deelnemers[[#This Row],[Is Buitenlandse Organisatie]],AND(Table_LuT_Deelnemers[[#This Row],[KVK niet leeg?]],LEN(Table_LuT_Deelnemers[[#This Row],[KVK-nummer]])&lt;=8))</f>
        <v>1</v>
      </c>
      <c r="AK16" s="3" t="b">
        <f>OR(NOT(Table_LuT_Deelnemers[[#This Row],[DN niet leeg?]]),NOT(Table_LuT_Deelnemers[[#This Row],[Is Buitenlandse Organisatie]]),NOT(Table_LuT_Deelnemers[[#This Row],[KVK niet leeg?]]))</f>
        <v>1</v>
      </c>
      <c r="AL16" s="3" t="b">
        <f ca="1">OR(NOT(Table_LuT_Deelnemers[[#This Row],[DN niet leeg?]]),Table_LuT_Deelnemers[[#This Row],[Kostensystematiek niet leeg?]])</f>
        <v>1</v>
      </c>
      <c r="AM16" s="3" t="b" cm="1">
        <f t="array" aca="1" ref="AM16" ca="1">INDIRECT("'"&amp;Table_LuT_Deelnemers[[#This Row],[ID Deelnemer]]&amp;"'!Check_Vaste_uurtarief")</f>
        <v>1</v>
      </c>
      <c r="AN16" s="3" t="b" cm="1">
        <f t="array" ref="AN16">OR(NOT(Table_LuT_Deelnemers[[#This Row],[Is Penvoerder?]]),NOT(Table_LuT_Deelnemers[[#This Row],[DN niet leeg?]]),AND(OR(Var_Sub.instr.="MKB",Table_LuT_Deelnemers[[#This Row],[Is OO?]]),OR(Var_Sub.instr.&lt;&gt;"MKB",Table_LuT_Deelnemers[[#This Row],[Is MKB?]])))</f>
        <v>1</v>
      </c>
      <c r="AO16" s="3" t="b" cm="1">
        <f t="array" ref="AO16">OR(NOT(Table_LuT_Deelnemers[[#This Row],[DN niet leeg?]]),Var_Sub.instr.&lt;&gt;"MKB",Table_LuT_Deelnemers[[#This Row],[Is OO?]],Table_LuT_Deelnemers[[#This Row],[Is MKB?]])</f>
        <v>1</v>
      </c>
      <c r="AP16" s="3" t="b" cm="1">
        <f t="array" aca="1" ref="AP16" ca="1">IFERROR(Minimale_Cash_CoF&lt;=SUMIFS(Table_LuT_Deelnemers[Cash Bijdrage],Table_LuT_Deelnemers[Type Organisatie],"&lt;&gt;Onderzoeksorganisatie"),FALSE)</f>
        <v>1</v>
      </c>
      <c r="AQ16" s="3" t="b" cm="1">
        <f t="array" aca="1" ref="AQ16" ca="1">IFERROR(Minimale_Cash_CoF&lt;=SUMIFS(Table_LuT_Deelnemers[Cash Ontvangen],Table_LuT_Deelnemers[Type Organisatie],"Onderzoeksorganisatie"),FALSE)</f>
        <v>1</v>
      </c>
      <c r="AR16" s="3" t="b" cm="1">
        <f t="array" aca="1" ref="AR16" ca="1">AND(((Table_LuT_Deelnemers[Cash Bijdrage])=0) + ((Table_LuT_Deelnemers[Cash Ontvangen])=0))</f>
        <v>1</v>
      </c>
      <c r="AS16" s="3" t="b">
        <f ca="1">IFERROR(ABS(Table_LuT_Deelnemers[[#Totals],[Cash Bijdrage]]-Table_LuT_Deelnemers[[#Totals],[Cash Ontvangen]])&lt;1,FALSE)</f>
        <v>1</v>
      </c>
      <c r="AT16" s="3" t="b">
        <f ca="1">IFERROR(Table_LuT_Deelnemers[[#This Row],[Maximale Subsidie FO - HTSM^overheid]]&gt;=Table_LuT_Deelnemers[[#This Row],[Gevraagde Subsidie FO]],FALSE)</f>
        <v>1</v>
      </c>
      <c r="AU16" s="3" t="b">
        <f ca="1">IFERROR(Table_LuT_Deelnemers[[#This Row],[Maximale Subsidie IO - HTSM^overheid]]&gt;=Table_LuT_Deelnemers[[#This Row],[Gevraagde Subsidie IO]],FALSE)</f>
        <v>1</v>
      </c>
      <c r="AV16" s="3" t="b">
        <f ca="1">IFERROR(Table_LuT_Deelnemers[[#This Row],[Maximale Subsidie EO - HTSM^overheid]]&gt;=Table_LuT_Deelnemers[[#This Row],[Gevraagde Subsidie EO]],FALSE)</f>
        <v>1</v>
      </c>
      <c r="AW16" s="3" t="b" cm="1">
        <f t="array" aca="1" ref="AW16"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16" s="3" t="b">
        <f ca="1">IFERROR(Table_LuT_Deelnemers[[#Totals],[Maximale Subsidie Totaal - HTSM]]&gt;=Table_LuT_Deelnemers[[#Totals],[Gevraagde Subsidie Totaal]],FALSE)</f>
        <v>1</v>
      </c>
      <c r="AY16" s="3" t="b" cm="1">
        <f t="array" aca="1" ref="AY16" ca="1">OR(NOT(Table_LuT_Deelnemers[[#This Row],[DN niet leeg?]]),Var_Sub.instr.="MKB",Table_LuT_Deelnemers[[#This Row],[Type Organisatie]]="Onderzoeksorganisatie",Table_LuT_Deelnemers[[#This Row],[Gevraagde Subsidie Totaal]]=0)</f>
        <v>1</v>
      </c>
      <c r="AZ16" s="3" t="b" cm="1">
        <f t="array" aca="1" ref="AZ16"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16" s="3" t="b" cm="1">
        <f t="array" aca="1" ref="BA16" ca="1">IFERROR(AND(ABS((Table_LuT_Deelnemers[Kosten Totaal])-(Table_LuT_Deelnemers[Financiering Totaal]))&lt;1),FALSE)</f>
        <v>1</v>
      </c>
      <c r="BB16" s="3" t="b">
        <f ca="1">IFERROR(ABS(Table_LuT_Deelnemers[[#Totals],[Financiering Totaal]]-Table_LuT_Deelnemers[[#Totals],[Kosten Totaal]])&lt;1,FALSE)</f>
        <v>1</v>
      </c>
      <c r="BC16" s="3" t="b" cm="1">
        <f t="array" aca="1" ref="BC16" ca="1">OR(Var_Sub.instr.&lt;&gt;"MKB",AND(Table_LuT_Deelnemers[Kosten FO]=0,Table_LuT_Deelnemers[Kosten EO]=0))</f>
        <v>1</v>
      </c>
      <c r="BD16" s="3" t="b" cm="1">
        <f t="array" ref="BD16">IF(Var_Sub.instr.="MKB",AND(Table_LuT_Deelnemers[Verhouding SUM kosten OOs / SUM kosten MKBs is OK?]),TRUE)</f>
        <v>1</v>
      </c>
      <c r="BE16" s="3" t="b" cm="1">
        <f t="array" ref="BE16">IF(Var_Sub.instr.="MKB",AND(Table_LuT_Deelnemers[SUM Maximale Subsidie MKBs &lt;= € 300,000, als MKB-call],Table_LuT_Deelnemers[SUM Maximale Subsidie OOs &lt;= € 150,000, als MKB-call]),TRUE)</f>
        <v>1</v>
      </c>
      <c r="BF16" s="3" t="b" cm="1">
        <f t="array" aca="1" ref="BF16" ca="1">AND(( (Table_LuT_Deelnemers[Naam Organisatie]&lt;&gt;"") + ((Table_LuT_Deelnemers[Cash Bijdrage]=0) * (Table_LuT_Deelnemers[Financiering Totaal]=0)) ))</f>
        <v>1</v>
      </c>
      <c r="BG16" s="3" t="b" cm="1">
        <f t="array" aca="1" ref="BG16" ca="1">IFERROR(AND((Table_LuT_Deelnemers[[Cash Bijdrage]:[Gevraagde Subsidie EO]]="") + (ISNUMBER(Table_LuT_Deelnemers[[Cash Bijdrage]:[Gevraagde Subsidie EO]]) * (Table_LuT_Deelnemers[[Cash Bijdrage]:[Gevraagde Subsidie EO]]&gt;=0) * (MOD(Table_LuT_Deelnemers[[Cash Bijdrage]:[Gevraagde Subsidie EO]],1)=0))),FALSE)</f>
        <v>1</v>
      </c>
      <c r="BH16" s="246" t="b">
        <f t="shared" si="4"/>
        <v>0</v>
      </c>
      <c r="BI16" s="19" t="b">
        <f ca="1">AND(Table_LuT_Deelnemers[[#This Row],[Check 005]:[Check 990]])</f>
        <v>0</v>
      </c>
      <c r="BJ16" s="11">
        <f>SUMIFS(Table_LuT_Deelnemers[Kosten Totaal],Table_LuT_Deelnemers[Is MKB?],TRUE)</f>
        <v>0</v>
      </c>
      <c r="BK16" s="11">
        <f>SUMIFS(Table_LuT_Deelnemers[Kosten Totaal],Table_LuT_Deelnemers[Is OO?],TRUE)</f>
        <v>0</v>
      </c>
      <c r="BL16" s="243" t="b" cm="1">
        <f t="array" ref="BL16">IF(Var_Sub.instr.="MKB",IF(Table_LuT_Deelnemers[[#This Row],[SUM Kosten MKBs]]=0,FALSE,Table_LuT_Deelnemers[[#This Row],[SUM Kosten OOs]]/Table_LuT_Deelnemers[[#This Row],[SUM Kosten MKBs]]&lt;=0.5),TRUE)</f>
        <v>1</v>
      </c>
      <c r="BM16" s="8" cm="1">
        <f t="array" aca="1" ref="BM16" ca="1">INDIRECT("Kst_FO_"&amp;Table_LuT_Deelnemers[[#This Row],[Verkorte Referentienaam Deelnemer]])</f>
        <v>0</v>
      </c>
      <c r="BN16" s="8" cm="1">
        <f t="array" aca="1" ref="BN16" ca="1">INDIRECT("Kst_IO_"&amp;Table_LuT_Deelnemers[[#This Row],[Verkorte Referentienaam Deelnemer]])</f>
        <v>0</v>
      </c>
      <c r="BO16" s="8" cm="1">
        <f t="array" aca="1" ref="BO16" ca="1">INDIRECT("Kst_EO_"&amp;Table_LuT_Deelnemers[[#This Row],[Verkorte Referentienaam Deelnemer]])</f>
        <v>0</v>
      </c>
      <c r="BP16" s="8" cm="1">
        <f t="array" aca="1" ref="BP16" ca="1">INDIRECT("Kst_Tot_"&amp;Table_LuT_Deelnemers[[#This Row],[Verkorte Referentienaam Deelnemer]])</f>
        <v>0</v>
      </c>
      <c r="BQ16" s="330" cm="1">
        <f t="array" aca="1" ref="BQ16" ca="1">INDIRECT("'"&amp;A16&amp;"'!Kosten_Apparatuur")</f>
        <v>0</v>
      </c>
      <c r="BR16" s="8" cm="1">
        <f t="array" aca="1" ref="BR16" ca="1">INDIRECT("Max_Sub_FO_"&amp;Table_LuT_Deelnemers[[#This Row],[Verkorte Referentienaam Deelnemer]])</f>
        <v>0</v>
      </c>
      <c r="BS16" s="8" cm="1">
        <f t="array" aca="1" ref="BS16" ca="1">INDIRECT("Max_Sub_IO_"&amp;Table_LuT_Deelnemers[[#This Row],[Verkorte Referentienaam Deelnemer]])</f>
        <v>0</v>
      </c>
      <c r="BT16" s="8" cm="1">
        <f t="array" aca="1" ref="BT16" ca="1">INDIRECT("Max_Sub_EO_"&amp;Table_LuT_Deelnemers[[#This Row],[Verkorte Referentienaam Deelnemer]])</f>
        <v>0</v>
      </c>
      <c r="BU16" s="328" cm="1">
        <f t="array" aca="1" ref="BU16" ca="1">INDIRECT("Max_Sub_"&amp;Table_LuT_Deelnemers[[#This Row],[Verkorte Referentienaam Deelnemer]])</f>
        <v>0</v>
      </c>
      <c r="BV16" s="190" cm="1">
        <f t="array" aca="1" ref="BV16" ca="1">INDIRECT("Cash_"&amp;Table_LuT_Deelnemers[[#This Row],[Verkorte Referentienaam Deelnemer]])</f>
        <v>0</v>
      </c>
      <c r="BW16" s="8" cm="1">
        <f t="array" aca="1" ref="BW16" ca="1">INDIRECT("Cash_Ontvangen_"&amp;Table_LuT_Deelnemers[[#This Row],[Verkorte Referentienaam Deelnemer]])</f>
        <v>0</v>
      </c>
      <c r="BX16" s="8" cm="1">
        <f t="array" aca="1" ref="BX16" ca="1">INDIRECT("In_kind_"&amp;Table_LuT_Deelnemers[[#This Row],[Verkorte Referentienaam Deelnemer]])</f>
        <v>0</v>
      </c>
      <c r="BY16" s="8" cm="1">
        <f t="array" aca="1" ref="BY16" ca="1">INDIRECT("Overige_Subsidies_"&amp;Table_LuT_Deelnemers[[#This Row],[Verkorte Referentienaam Deelnemer]])</f>
        <v>0</v>
      </c>
      <c r="BZ16" s="190" cm="1">
        <f t="array" aca="1" ref="BZ16" ca="1">INDIRECT("Subsidie_FO_"&amp;Table_LuT_Deelnemers[[#This Row],[Verkorte Referentienaam Deelnemer]])</f>
        <v>0</v>
      </c>
      <c r="CA16" s="190" cm="1">
        <f t="array" aca="1" ref="CA16" ca="1">INDIRECT("Subsidie_IO_"&amp;Table_LuT_Deelnemers[[#This Row],[Verkorte Referentienaam Deelnemer]])</f>
        <v>0</v>
      </c>
      <c r="CB16" s="190" cm="1">
        <f t="array" aca="1" ref="CB16" ca="1">INDIRECT("Subsidie_EO_"&amp;Table_LuT_Deelnemers[[#This Row],[Verkorte Referentienaam Deelnemer]])</f>
        <v>0</v>
      </c>
      <c r="CC16" s="8" cm="1">
        <f t="array" aca="1" ref="CC16" ca="1">INDIRECT("Subsidie_"&amp;Table_LuT_Deelnemers[[#This Row],[Verkorte Referentienaam Deelnemer]])</f>
        <v>0</v>
      </c>
      <c r="CD16" s="254" cm="1">
        <f t="array" aca="1" ref="CD16" ca="1">INDIRECT("Fin_Tot_"&amp;Table_LuT_Deelnemers[[#This Row],[Verkorte Referentienaam Deelnemer]])</f>
        <v>0</v>
      </c>
      <c r="CE16" s="8">
        <f ca="1">_xlfn.LET(_xlpm.Var_Delta,Table_LuT_Deelnemers[[#This Row],[Gevraagde Subsidie FO]]-Table_LuT_Deelnemers[[#This Row],[Maximale Subsidie FO - HTSM^overheid]],IF(_xlpm.Var_Delta&gt;0,_xlpm.Var_Delta,0))</f>
        <v>0</v>
      </c>
      <c r="CF16" s="8">
        <f ca="1">_xlfn.LET(_xlpm.Var_Delta,Table_LuT_Deelnemers[[#This Row],[Gevraagde Subsidie IO]]-Table_LuT_Deelnemers[[#This Row],[Maximale Subsidie IO - HTSM^overheid]],IF(_xlpm.Var_Delta&gt;0,_xlpm.Var_Delta,0))</f>
        <v>0</v>
      </c>
      <c r="CG16" s="8">
        <f ca="1">_xlfn.LET(_xlpm.Var_Delta,Table_LuT_Deelnemers[[#This Row],[Gevraagde Subsidie EO]]-Table_LuT_Deelnemers[[#This Row],[Maximale Subsidie EO - HTSM^overheid]],IF(_xlpm.Var_Delta&gt;0,_xlpm.Var_Delta,0))</f>
        <v>0</v>
      </c>
      <c r="CH16" s="8">
        <f ca="1">_xlfn.LET(_xlpm.Var_Delta,Table_LuT_Deelnemers[[#This Row],[Gevraagde Subsidie Totaal]]-Table_LuT_Deelnemers[[#This Row],[Maximale Subsidie Totaal - HTSM^overheid]],IF(_xlpm.Var_Delta&gt;0,_xlpm.Var_Delta,0))</f>
        <v>0</v>
      </c>
      <c r="CI16" s="11">
        <f>SUMIFS(Table_LuT_Deelnemers[Gevraagde Subsidie Totaal],Table_LuT_Deelnemers[Is MKB?],TRUE)</f>
        <v>0</v>
      </c>
      <c r="CJ16" s="11">
        <f>SUMIFS(Table_LuT_Deelnemers[Gevraagde Subsidie Totaal],Table_LuT_Deelnemers[Is OO?],TRUE)</f>
        <v>0</v>
      </c>
      <c r="CK16" s="11" t="b" cm="1">
        <f t="array" ref="CK16">IF(Var_Sub.instr.="MKB",Table_LuT_Deelnemers[[#This Row],[SUM Gevraagde Subsidie MKBs]]&lt;=Var_MaxSub_MKB_call_MKB,TRUE)</f>
        <v>1</v>
      </c>
      <c r="CL16" s="243" t="b" cm="1">
        <f t="array" ref="CL16">IF(Var_Sub.instr.="MKB",Table_LuT_Deelnemers[[#This Row],[SUM Gevraagde Subsidie OOs]]&lt;=Var_MaxSub_MKB_call_OO,TRUE)</f>
        <v>1</v>
      </c>
      <c r="CM16" s="8">
        <f ca="1">SUMIFS(Table_LuT_Begroting_Deelnemers[Maximale Subsidie - overheid],Table_LuT_Begroting_Deelnemers[Verkorte Referentienaam Deelnemer],Table_LuT_Deelnemers[[#This Row],[Verkorte Referentienaam Deelnemer]],Table_LuT_Begroting_Deelnemers[FO | IO | EO],"FO")</f>
        <v>0</v>
      </c>
      <c r="CN16" s="8">
        <f ca="1">SUMIFS(Table_LuT_Begroting_Deelnemers[Maximale Subsidie - overheid],Table_LuT_Begroting_Deelnemers[Verkorte Referentienaam Deelnemer],Table_LuT_Deelnemers[[#This Row],[Verkorte Referentienaam Deelnemer]],Table_LuT_Begroting_Deelnemers[FO | IO | EO],"IO")</f>
        <v>0</v>
      </c>
      <c r="CO16" s="8">
        <f ca="1">SUMIFS(Table_LuT_Begroting_Deelnemers[Maximale Subsidie - overheid],Table_LuT_Begroting_Deelnemers[Verkorte Referentienaam Deelnemer],Table_LuT_Deelnemers[[#This Row],[Verkorte Referentienaam Deelnemer]],Table_LuT_Begroting_Deelnemers[FO | IO | EO],"EO")</f>
        <v>0</v>
      </c>
      <c r="CP16" s="328">
        <f ca="1">SUMIFS(Table_LuT_Begroting_Deelnemers[Maximale Subsidie - overheid],Table_LuT_Begroting_Deelnemers[Verkorte Referentienaam Deelnemer],Table_LuT_Deelnemers[[#This Row],[Verkorte Referentienaam Deelnemer]])</f>
        <v>0</v>
      </c>
      <c r="CQ16" s="8">
        <f ca="1">IF(Table_LuT_Deelnemers[[#This Row],[Is OO?]],Table_LuT_Deelnemers[[#This Row],[Maximale Subsidie FO - overheid]],Table_LuT_Deelnemers[[#This Row],[Maximale Subsidie FO - HTSM]])</f>
        <v>0</v>
      </c>
      <c r="CR16" s="8">
        <f ca="1">IF(Table_LuT_Deelnemers[[#This Row],[Is OO?]],Table_LuT_Deelnemers[[#This Row],[Maximale Subsidie IO - overheid]],Table_LuT_Deelnemers[[#This Row],[Maximale Subsidie IO - HTSM]])</f>
        <v>0</v>
      </c>
      <c r="CS16" s="8">
        <f ca="1">IF(Table_LuT_Deelnemers[[#This Row],[Is OO?]],Table_LuT_Deelnemers[[#This Row],[Maximale Subsidie EO - overheid]],Table_LuT_Deelnemers[[#This Row],[Maximale Subsidie EO - HTSM]])</f>
        <v>0</v>
      </c>
      <c r="CT16" s="328">
        <f ca="1">IF(Table_LuT_Deelnemers[[#This Row],[Is OO?]],Table_LuT_Deelnemers[[#This Row],[Maximale Subsidie Totaal - overheid]],Table_LuT_Deelnemers[[#This Row],[Maximale Subsidie Totaal - HTSM]])</f>
        <v>0</v>
      </c>
      <c r="CU16" s="11">
        <f>SUMIFS(Table_LuT_Deelnemers[Gevraagde Subsidie Totaal],Table_LuT_Deelnemers[Is OO?],TRUE)</f>
        <v>0</v>
      </c>
      <c r="CV16" s="11">
        <f ca="1">SUMIFS(Table_LuT_Begroting_Deelnemers[Maximale Subsidie OO - overheid],Table_LuT_Begroting_Deelnemers[Is OO?],TRUE)</f>
        <v>0</v>
      </c>
      <c r="CW16" s="11">
        <f ca="1">SUMIFS(Table_LuT_Begroting_Deelnemers[Maximale Subsidie OO - HTSM],Table_LuT_Begroting_Deelnemers[Is OO?],TRUE)</f>
        <v>0</v>
      </c>
      <c r="CX16" s="11">
        <f ca="1">SUMIFS(Table_LuT_Begroting_Deelnemers[Maximale Subsidie MKB - HTSM],Table_LuT_Begroting_Deelnemers[Is MKB?],TRUE)</f>
        <v>0</v>
      </c>
      <c r="CY16" s="11">
        <f ca="1">Table_LuT_Deelnemers[[#This Row],[SUM Maximale Subsidie - OO - HTSM]]+Table_LuT_Deelnemers[[#This Row],[SUM Maximale Subsidie - MKB - HTSM]]</f>
        <v>0</v>
      </c>
      <c r="CZ16" s="11">
        <f ca="1">MIN(Table_LuT_Deelnemers[[#This Row],[SUM  Maximale Subsidie - OO - overheid]],Table_LuT_Deelnemers[[#This Row],[SUM Maximale Subsidie - OO+MKB - HTSM]])</f>
        <v>0</v>
      </c>
    </row>
    <row r="17" spans="1:104" ht="15" customHeight="1" x14ac:dyDescent="0.25">
      <c r="A17" s="2" t="s">
        <v>194</v>
      </c>
      <c r="B17" s="2" t="s">
        <v>204</v>
      </c>
      <c r="C17" s="2" t="s">
        <v>214</v>
      </c>
      <c r="D17" s="3" t="str">
        <f>Table_LuT_Deelnemers[[#This Row],[ID Deelnemer]]</f>
        <v>Deelnemer 16</v>
      </c>
      <c r="E17" s="3" t="str" cm="1">
        <f t="array" ref="E17">IF(NOT(Table_LuT_Deelnemers[[#This Row],[DN niet leeg?]]),"",_xlfn.XLOOKUP(Table_LuT_Deelnemers[[#This Row],[ID Deelnemer]],INDEX(Range_Deelnemer_Nrs,,1),INDEX(Range_Deelnemer_Nrs,,2),"",0,1))</f>
        <v/>
      </c>
      <c r="F17" s="3" t="str" cm="1">
        <f t="array" ref="F17">IF(NOT(Table_LuT_Deelnemers[[#This Row],[Type Organisatie niet leeg?]]),"",_xlfn.XLOOKUP(Table_LuT_Deelnemers[[#This Row],[ID Deelnemer]],INDEX(Range_Deelnemer_Nrs,,1),INDEX(Range_Deelnemer_Nrs,,3),"",0,1))</f>
        <v/>
      </c>
      <c r="G17" s="3" t="str" cm="1">
        <f t="array" ref="G17">IF(NOT(Table_LuT_Deelnemers[[#This Row],[Type Organisatie niet leeg?]]),"",_xlfn.XLOOKUP(Table_LuT_Deelnemers[[#This Row],[Type Organisatie]],ValList_Type_Organisatie,Table_Val_List_Type_Org[TO]))</f>
        <v/>
      </c>
      <c r="H17" s="3" t="str" cm="1">
        <f t="array" ref="H17">IF(NOT(Table_LuT_Deelnemers[[#This Row],[KVK niet leeg?]]),"",_xlfn.XLOOKUP(Table_LuT_Deelnemers[[#This Row],[ID Deelnemer]],INDEX(Range_Deelnemer_Nrs,,1),INDEX(Range_Deelnemer_Nrs,,4),"",0,1))</f>
        <v/>
      </c>
      <c r="I17" s="3" t="str" cm="1">
        <f t="array" ref="I17">IF(NOT(Table_LuT_Deelnemers[[#This Row],[DN niet leeg?]]),"",IF(NOT(Table_LuT_Deelnemers[[#This Row],[Is Buitenlandse Organisatie]]),"",_xlfn.XLOOKUP(Table_LuT_Deelnemers[[#This Row],[ID Deelnemer]],INDEX(Range_Deelnemer_Nrs,,1),INDEX(Range_Deelnemer_Nrs,,5),"",0,1)))</f>
        <v/>
      </c>
      <c r="J17" s="3" t="str" cm="1">
        <f t="array" ref="J17">IF(NOT(Table_LuT_Deelnemers[[#This Row],[DN niet leeg?]]),"",_xlfn.XLOOKUP(Table_LuT_Deelnemers[[#This Row],[ID Deelnemer]],INDEX(Range_Deelnemer_Nrs,,1),INDEX(Range_Deelnemer_Nrs,,6),"",0,1)&lt;&gt;"nee")</f>
        <v/>
      </c>
      <c r="K17" s="3" t="str" cm="1">
        <f t="array" ref="K17">IF(NOT(Table_LuT_Deelnemers[[#This Row],[DN niet leeg?]]),"",_xlfn.LET(_xlpm.website,_xlfn.XLOOKUP(Table_LuT_Deelnemers[[#This Row],[ID Deelnemer]],INDEX(Range_Deelnemer_Nrs,,1),INDEX(Range_Deelnemer_Nrs,,7),"",0,1),IF(_xlpm.website=0,"",_xlpm.website)))</f>
        <v/>
      </c>
      <c r="L17" s="19" t="str" cm="1">
        <f t="array" aca="1" ref="L17" ca="1">IF(INDIRECT("'"&amp;Table_LuT_Deelnemers[[#This Row],[Naam Sheet]]&amp;"'!Kostensystematiek")="[Maak een keuze]","",INDIRECT("'"&amp;Table_LuT_Deelnemers[[#This Row],[Naam Sheet]]&amp;"'!Kostensystematiek"))</f>
        <v/>
      </c>
      <c r="M17" s="3" t="b">
        <f>Table_LuT_Deelnemers[[#This Row],[Type Organisatie]]="MKB"</f>
        <v>0</v>
      </c>
      <c r="N17" s="3" t="b">
        <f>Table_LuT_Deelnemers[[#This Row],[Type Organisatie]]="Onderzoeksorganisatie"</f>
        <v>0</v>
      </c>
      <c r="O17" s="3" t="b">
        <f>Table_LuT_Deelnemers[[#This Row],[Type Organisatie]]="Grootbedrijf"</f>
        <v>0</v>
      </c>
      <c r="P17" s="19" t="b">
        <f>Table_LuT_Deelnemers[[#This Row],[Verkorte Referentienaam Deelnemer]]="DN1"</f>
        <v>0</v>
      </c>
      <c r="Q17" s="3" t="b">
        <f t="shared" si="0"/>
        <v>0</v>
      </c>
      <c r="R17" s="3" t="b">
        <f t="shared" si="1"/>
        <v>0</v>
      </c>
      <c r="S17" s="3" t="b" cm="1">
        <f t="array" ref="S17">NOT(ISBLANK(_xlfn.XLOOKUP(Table_LuT_Deelnemers[[#This Row],[ID Deelnemer]],INDEX(Range_Deelnemer_Nrs,,1),INDEX(Range_Deelnemer_Nrs,,2),"",0,1)))</f>
        <v>0</v>
      </c>
      <c r="T17" s="3" t="b" cm="1">
        <f t="array" ref="T17">_xlfn.XLOOKUP(Table_LuT_Deelnemers[[#This Row],[ID Deelnemer]],INDEX(Range_Deelnemer_Nrs,,1),INDEX(Range_Deelnemer_Nrs,,3),"",0,1)&lt;&gt;"[Maak een keuze]"</f>
        <v>0</v>
      </c>
      <c r="U17" s="3" t="b" cm="1">
        <f t="array" ref="U17">NOT(ISBLANK(_xlfn.XLOOKUP(Table_LuT_Deelnemers[[#This Row],[ID Deelnemer]],INDEX(Range_Deelnemer_Nrs,,1),INDEX(Range_Deelnemer_Nrs,,4),"",0,1)))</f>
        <v>0</v>
      </c>
      <c r="V17" s="3" t="b" cm="1">
        <f t="array" ref="V17">NOT(ISBLANK(_xlfn.XLOOKUP(Table_LuT_Deelnemers[[#This Row],[ID Deelnemer]],INDEX(Range_Deelnemer_Nrs,,1),INDEX(Range_Deelnemer_Nrs,,5),"",0,1)))</f>
        <v>0</v>
      </c>
      <c r="W17" s="19" t="b" cm="1">
        <f t="array" aca="1" ref="W17" ca="1">INDIRECT("'"&amp;Table_LuT_Deelnemers[[#This Row],[Naam Sheet]]&amp;"'!Kostensystematiek")&lt;&gt;"[Maak een keuze]"</f>
        <v>0</v>
      </c>
      <c r="X17" s="248" t="b">
        <f>OR(NOT(Table_LuT_Deelnemers[[#This Row],[DN niet leeg?]]),Table_LuT_Deelnemers[[#This Row],[Is OO?]],NOT(Table_LuT_Deelnemers[[#This Row],[Is GB?]]))</f>
        <v>1</v>
      </c>
      <c r="Y17" s="3" t="b">
        <f>OR(Table_LuT_Deelnemers[[#This Row],[Verkorte Referentienaam Deelnemer]]&lt;&gt;"DN1",NOT(Table_LuT_Deelnemers[[#This Row],[Penvoerder niet leeg?]]),AND(Subsidie_instrument&lt;&gt;"[Maak een keuze]",NOT(ISBLANK(Projecttitel)),NOT(ISBLANK(Projectacroniem))))</f>
        <v>1</v>
      </c>
      <c r="Z17" s="3" t="b">
        <f t="shared" si="2"/>
        <v>1</v>
      </c>
      <c r="AA17" s="3" t="b">
        <f t="shared" si="3"/>
        <v>1</v>
      </c>
      <c r="AB17" s="3" t="b">
        <f>OR(Table_LuT_Deelnemers[[#This Row],[Verkorte Referentienaam Deelnemer]]&lt;&gt;"DN1",Table_LuT_Deelnemers[[#This Row],[Penvoerder niet leeg?]],NOT(Table_LuT_Deelnemers[[#This Row],[DN2 niet leeg?]]))</f>
        <v>1</v>
      </c>
      <c r="AC17" s="3" t="b">
        <f>OR(Table_LuT_Deelnemers[[#This Row],[Verkorte Referentienaam Deelnemer]]&lt;&gt;"DN2",NOT(_xlfn.XOR(Table_LuT_Deelnemers[[#This Row],[Penvoerder niet leeg?]],Table_LuT_Deelnemers[[#This Row],[DN2 niet leeg?]])))</f>
        <v>1</v>
      </c>
      <c r="AD17" s="3" t="b">
        <f>OR(Table_LuT_Deelnemers[[#This Row],[Verkorte Referentienaam Deelnemer]]="DN1",NOT(Table_LuT_Deelnemers[[#This Row],[DN niet leeg?]]),AND(S$2:S16))</f>
        <v>1</v>
      </c>
      <c r="AE17"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17" s="3" t="b">
        <f>OR(NOT(Table_LuT_Deelnemers[[#This Row],[DN niet leeg?]]),NOT(Table_LuT_Deelnemers[[#This Row],[DN2 niet leeg?]]),OR(Table_LuT_Deelnemers[Is OO?]))</f>
        <v>1</v>
      </c>
      <c r="AG17" s="3" t="b">
        <f>OR(Table_LuT_Deelnemers[[#This Row],[Verkorte Referentienaam Deelnemer]]="DN1",NOT(_xlfn.XOR(Table_LuT_Deelnemers[[#This Row],[DN niet leeg?]],Table_LuT_Deelnemers[[#This Row],[Type Organisatie niet leeg?]])))</f>
        <v>1</v>
      </c>
      <c r="AH17" s="3" t="b">
        <f>OR(Table_LuT_Deelnemers[[#This Row],[Verkorte Referentienaam Deelnemer]]&lt;&gt;"DN1",NOT(Table_LuT_Deelnemers[[#This Row],[Penvoerder niet leeg?]]),NOT(Table_LuT_Deelnemers[[#This Row],[Is Buitenlandse Organisatie]]))</f>
        <v>1</v>
      </c>
      <c r="AI17" s="3" t="b">
        <f>OR(NOT(Table_LuT_Deelnemers[[#This Row],[DN niet leeg?]]),Table_LuT_Deelnemers[[#This Row],[Is Buitenlandse Organisatie]],Table_LuT_Deelnemers[[#This Row],[KVK niet leeg?]])</f>
        <v>1</v>
      </c>
      <c r="AJ17" s="3" t="b">
        <f>OR(NOT(Table_LuT_Deelnemers[[#This Row],[DN niet leeg?]]),Table_LuT_Deelnemers[[#This Row],[Is Buitenlandse Organisatie]],AND(Table_LuT_Deelnemers[[#This Row],[KVK niet leeg?]],LEN(Table_LuT_Deelnemers[[#This Row],[KVK-nummer]])&lt;=8))</f>
        <v>1</v>
      </c>
      <c r="AK17" s="3" t="b">
        <f>OR(NOT(Table_LuT_Deelnemers[[#This Row],[DN niet leeg?]]),NOT(Table_LuT_Deelnemers[[#This Row],[Is Buitenlandse Organisatie]]),NOT(Table_LuT_Deelnemers[[#This Row],[KVK niet leeg?]]))</f>
        <v>1</v>
      </c>
      <c r="AL17" s="3" t="b">
        <f ca="1">OR(NOT(Table_LuT_Deelnemers[[#This Row],[DN niet leeg?]]),Table_LuT_Deelnemers[[#This Row],[Kostensystematiek niet leeg?]])</f>
        <v>1</v>
      </c>
      <c r="AM17" s="3" t="b" cm="1">
        <f t="array" aca="1" ref="AM17" ca="1">INDIRECT("'"&amp;Table_LuT_Deelnemers[[#This Row],[ID Deelnemer]]&amp;"'!Check_Vaste_uurtarief")</f>
        <v>1</v>
      </c>
      <c r="AN17" s="3" t="b" cm="1">
        <f t="array" ref="AN17">OR(NOT(Table_LuT_Deelnemers[[#This Row],[Is Penvoerder?]]),NOT(Table_LuT_Deelnemers[[#This Row],[DN niet leeg?]]),AND(OR(Var_Sub.instr.="MKB",Table_LuT_Deelnemers[[#This Row],[Is OO?]]),OR(Var_Sub.instr.&lt;&gt;"MKB",Table_LuT_Deelnemers[[#This Row],[Is MKB?]])))</f>
        <v>1</v>
      </c>
      <c r="AO17" s="3" t="b" cm="1">
        <f t="array" ref="AO17">OR(NOT(Table_LuT_Deelnemers[[#This Row],[DN niet leeg?]]),Var_Sub.instr.&lt;&gt;"MKB",Table_LuT_Deelnemers[[#This Row],[Is OO?]],Table_LuT_Deelnemers[[#This Row],[Is MKB?]])</f>
        <v>1</v>
      </c>
      <c r="AP17" s="3" t="b" cm="1">
        <f t="array" aca="1" ref="AP17" ca="1">IFERROR(Minimale_Cash_CoF&lt;=SUMIFS(Table_LuT_Deelnemers[Cash Bijdrage],Table_LuT_Deelnemers[Type Organisatie],"&lt;&gt;Onderzoeksorganisatie"),FALSE)</f>
        <v>1</v>
      </c>
      <c r="AQ17" s="3" t="b" cm="1">
        <f t="array" aca="1" ref="AQ17" ca="1">IFERROR(Minimale_Cash_CoF&lt;=SUMIFS(Table_LuT_Deelnemers[Cash Ontvangen],Table_LuT_Deelnemers[Type Organisatie],"Onderzoeksorganisatie"),FALSE)</f>
        <v>1</v>
      </c>
      <c r="AR17" s="3" t="b" cm="1">
        <f t="array" aca="1" ref="AR17" ca="1">AND(((Table_LuT_Deelnemers[Cash Bijdrage])=0) + ((Table_LuT_Deelnemers[Cash Ontvangen])=0))</f>
        <v>1</v>
      </c>
      <c r="AS17" s="3" t="b">
        <f ca="1">IFERROR(ABS(Table_LuT_Deelnemers[[#Totals],[Cash Bijdrage]]-Table_LuT_Deelnemers[[#Totals],[Cash Ontvangen]])&lt;1,FALSE)</f>
        <v>1</v>
      </c>
      <c r="AT17" s="3" t="b">
        <f ca="1">IFERROR(Table_LuT_Deelnemers[[#This Row],[Maximale Subsidie FO - HTSM^overheid]]&gt;=Table_LuT_Deelnemers[[#This Row],[Gevraagde Subsidie FO]],FALSE)</f>
        <v>1</v>
      </c>
      <c r="AU17" s="3" t="b">
        <f ca="1">IFERROR(Table_LuT_Deelnemers[[#This Row],[Maximale Subsidie IO - HTSM^overheid]]&gt;=Table_LuT_Deelnemers[[#This Row],[Gevraagde Subsidie IO]],FALSE)</f>
        <v>1</v>
      </c>
      <c r="AV17" s="3" t="b">
        <f ca="1">IFERROR(Table_LuT_Deelnemers[[#This Row],[Maximale Subsidie EO - HTSM^overheid]]&gt;=Table_LuT_Deelnemers[[#This Row],[Gevraagde Subsidie EO]],FALSE)</f>
        <v>1</v>
      </c>
      <c r="AW17" s="3" t="b" cm="1">
        <f t="array" aca="1" ref="AW17"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17" s="3" t="b">
        <f ca="1">IFERROR(Table_LuT_Deelnemers[[#Totals],[Maximale Subsidie Totaal - HTSM]]&gt;=Table_LuT_Deelnemers[[#Totals],[Gevraagde Subsidie Totaal]],FALSE)</f>
        <v>1</v>
      </c>
      <c r="AY17" s="3" t="b" cm="1">
        <f t="array" aca="1" ref="AY17" ca="1">OR(NOT(Table_LuT_Deelnemers[[#This Row],[DN niet leeg?]]),Var_Sub.instr.="MKB",Table_LuT_Deelnemers[[#This Row],[Type Organisatie]]="Onderzoeksorganisatie",Table_LuT_Deelnemers[[#This Row],[Gevraagde Subsidie Totaal]]=0)</f>
        <v>1</v>
      </c>
      <c r="AZ17" s="3" t="b" cm="1">
        <f t="array" aca="1" ref="AZ17"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17" s="3" t="b" cm="1">
        <f t="array" aca="1" ref="BA17" ca="1">IFERROR(AND(ABS((Table_LuT_Deelnemers[Kosten Totaal])-(Table_LuT_Deelnemers[Financiering Totaal]))&lt;1),FALSE)</f>
        <v>1</v>
      </c>
      <c r="BB17" s="3" t="b">
        <f ca="1">IFERROR(ABS(Table_LuT_Deelnemers[[#Totals],[Financiering Totaal]]-Table_LuT_Deelnemers[[#Totals],[Kosten Totaal]])&lt;1,FALSE)</f>
        <v>1</v>
      </c>
      <c r="BC17" s="3" t="b" cm="1">
        <f t="array" aca="1" ref="BC17" ca="1">OR(Var_Sub.instr.&lt;&gt;"MKB",AND(Table_LuT_Deelnemers[Kosten FO]=0,Table_LuT_Deelnemers[Kosten EO]=0))</f>
        <v>1</v>
      </c>
      <c r="BD17" s="3" t="b" cm="1">
        <f t="array" ref="BD17">IF(Var_Sub.instr.="MKB",AND(Table_LuT_Deelnemers[Verhouding SUM kosten OOs / SUM kosten MKBs is OK?]),TRUE)</f>
        <v>1</v>
      </c>
      <c r="BE17" s="3" t="b" cm="1">
        <f t="array" ref="BE17">IF(Var_Sub.instr.="MKB",AND(Table_LuT_Deelnemers[SUM Maximale Subsidie MKBs &lt;= € 300,000, als MKB-call],Table_LuT_Deelnemers[SUM Maximale Subsidie OOs &lt;= € 150,000, als MKB-call]),TRUE)</f>
        <v>1</v>
      </c>
      <c r="BF17" s="3" t="b" cm="1">
        <f t="array" aca="1" ref="BF17" ca="1">AND(( (Table_LuT_Deelnemers[Naam Organisatie]&lt;&gt;"") + ((Table_LuT_Deelnemers[Cash Bijdrage]=0) * (Table_LuT_Deelnemers[Financiering Totaal]=0)) ))</f>
        <v>1</v>
      </c>
      <c r="BG17" s="3" t="b" cm="1">
        <f t="array" aca="1" ref="BG17" ca="1">IFERROR(AND((Table_LuT_Deelnemers[[Cash Bijdrage]:[Gevraagde Subsidie EO]]="") + (ISNUMBER(Table_LuT_Deelnemers[[Cash Bijdrage]:[Gevraagde Subsidie EO]]) * (Table_LuT_Deelnemers[[Cash Bijdrage]:[Gevraagde Subsidie EO]]&gt;=0) * (MOD(Table_LuT_Deelnemers[[Cash Bijdrage]:[Gevraagde Subsidie EO]],1)=0))),FALSE)</f>
        <v>1</v>
      </c>
      <c r="BH17" s="246" t="b">
        <f t="shared" si="4"/>
        <v>0</v>
      </c>
      <c r="BI17" s="19" t="b">
        <f ca="1">AND(Table_LuT_Deelnemers[[#This Row],[Check 005]:[Check 990]])</f>
        <v>0</v>
      </c>
      <c r="BJ17" s="11">
        <f>SUMIFS(Table_LuT_Deelnemers[Kosten Totaal],Table_LuT_Deelnemers[Is MKB?],TRUE)</f>
        <v>0</v>
      </c>
      <c r="BK17" s="11">
        <f>SUMIFS(Table_LuT_Deelnemers[Kosten Totaal],Table_LuT_Deelnemers[Is OO?],TRUE)</f>
        <v>0</v>
      </c>
      <c r="BL17" s="243" t="b" cm="1">
        <f t="array" ref="BL17">IF(Var_Sub.instr.="MKB",IF(Table_LuT_Deelnemers[[#This Row],[SUM Kosten MKBs]]=0,FALSE,Table_LuT_Deelnemers[[#This Row],[SUM Kosten OOs]]/Table_LuT_Deelnemers[[#This Row],[SUM Kosten MKBs]]&lt;=0.5),TRUE)</f>
        <v>1</v>
      </c>
      <c r="BM17" s="8" cm="1">
        <f t="array" aca="1" ref="BM17" ca="1">INDIRECT("Kst_FO_"&amp;Table_LuT_Deelnemers[[#This Row],[Verkorte Referentienaam Deelnemer]])</f>
        <v>0</v>
      </c>
      <c r="BN17" s="8" cm="1">
        <f t="array" aca="1" ref="BN17" ca="1">INDIRECT("Kst_IO_"&amp;Table_LuT_Deelnemers[[#This Row],[Verkorte Referentienaam Deelnemer]])</f>
        <v>0</v>
      </c>
      <c r="BO17" s="8" cm="1">
        <f t="array" aca="1" ref="BO17" ca="1">INDIRECT("Kst_EO_"&amp;Table_LuT_Deelnemers[[#This Row],[Verkorte Referentienaam Deelnemer]])</f>
        <v>0</v>
      </c>
      <c r="BP17" s="8" cm="1">
        <f t="array" aca="1" ref="BP17" ca="1">INDIRECT("Kst_Tot_"&amp;Table_LuT_Deelnemers[[#This Row],[Verkorte Referentienaam Deelnemer]])</f>
        <v>0</v>
      </c>
      <c r="BQ17" s="330" cm="1">
        <f t="array" aca="1" ref="BQ17" ca="1">INDIRECT("'"&amp;A17&amp;"'!Kosten_Apparatuur")</f>
        <v>0</v>
      </c>
      <c r="BR17" s="8" cm="1">
        <f t="array" aca="1" ref="BR17" ca="1">INDIRECT("Max_Sub_FO_"&amp;Table_LuT_Deelnemers[[#This Row],[Verkorte Referentienaam Deelnemer]])</f>
        <v>0</v>
      </c>
      <c r="BS17" s="8" cm="1">
        <f t="array" aca="1" ref="BS17" ca="1">INDIRECT("Max_Sub_IO_"&amp;Table_LuT_Deelnemers[[#This Row],[Verkorte Referentienaam Deelnemer]])</f>
        <v>0</v>
      </c>
      <c r="BT17" s="8" cm="1">
        <f t="array" aca="1" ref="BT17" ca="1">INDIRECT("Max_Sub_EO_"&amp;Table_LuT_Deelnemers[[#This Row],[Verkorte Referentienaam Deelnemer]])</f>
        <v>0</v>
      </c>
      <c r="BU17" s="328" cm="1">
        <f t="array" aca="1" ref="BU17" ca="1">INDIRECT("Max_Sub_"&amp;Table_LuT_Deelnemers[[#This Row],[Verkorte Referentienaam Deelnemer]])</f>
        <v>0</v>
      </c>
      <c r="BV17" s="190" cm="1">
        <f t="array" aca="1" ref="BV17" ca="1">INDIRECT("Cash_"&amp;Table_LuT_Deelnemers[[#This Row],[Verkorte Referentienaam Deelnemer]])</f>
        <v>0</v>
      </c>
      <c r="BW17" s="8" cm="1">
        <f t="array" aca="1" ref="BW17" ca="1">INDIRECT("Cash_Ontvangen_"&amp;Table_LuT_Deelnemers[[#This Row],[Verkorte Referentienaam Deelnemer]])</f>
        <v>0</v>
      </c>
      <c r="BX17" s="8" cm="1">
        <f t="array" aca="1" ref="BX17" ca="1">INDIRECT("In_kind_"&amp;Table_LuT_Deelnemers[[#This Row],[Verkorte Referentienaam Deelnemer]])</f>
        <v>0</v>
      </c>
      <c r="BY17" s="8" cm="1">
        <f t="array" aca="1" ref="BY17" ca="1">INDIRECT("Overige_Subsidies_"&amp;Table_LuT_Deelnemers[[#This Row],[Verkorte Referentienaam Deelnemer]])</f>
        <v>0</v>
      </c>
      <c r="BZ17" s="190" cm="1">
        <f t="array" aca="1" ref="BZ17" ca="1">INDIRECT("Subsidie_FO_"&amp;Table_LuT_Deelnemers[[#This Row],[Verkorte Referentienaam Deelnemer]])</f>
        <v>0</v>
      </c>
      <c r="CA17" s="190" cm="1">
        <f t="array" aca="1" ref="CA17" ca="1">INDIRECT("Subsidie_IO_"&amp;Table_LuT_Deelnemers[[#This Row],[Verkorte Referentienaam Deelnemer]])</f>
        <v>0</v>
      </c>
      <c r="CB17" s="190" cm="1">
        <f t="array" aca="1" ref="CB17" ca="1">INDIRECT("Subsidie_EO_"&amp;Table_LuT_Deelnemers[[#This Row],[Verkorte Referentienaam Deelnemer]])</f>
        <v>0</v>
      </c>
      <c r="CC17" s="8" cm="1">
        <f t="array" aca="1" ref="CC17" ca="1">INDIRECT("Subsidie_"&amp;Table_LuT_Deelnemers[[#This Row],[Verkorte Referentienaam Deelnemer]])</f>
        <v>0</v>
      </c>
      <c r="CD17" s="254" cm="1">
        <f t="array" aca="1" ref="CD17" ca="1">INDIRECT("Fin_Tot_"&amp;Table_LuT_Deelnemers[[#This Row],[Verkorte Referentienaam Deelnemer]])</f>
        <v>0</v>
      </c>
      <c r="CE17" s="8">
        <f ca="1">_xlfn.LET(_xlpm.Var_Delta,Table_LuT_Deelnemers[[#This Row],[Gevraagde Subsidie FO]]-Table_LuT_Deelnemers[[#This Row],[Maximale Subsidie FO - HTSM^overheid]],IF(_xlpm.Var_Delta&gt;0,_xlpm.Var_Delta,0))</f>
        <v>0</v>
      </c>
      <c r="CF17" s="8">
        <f ca="1">_xlfn.LET(_xlpm.Var_Delta,Table_LuT_Deelnemers[[#This Row],[Gevraagde Subsidie IO]]-Table_LuT_Deelnemers[[#This Row],[Maximale Subsidie IO - HTSM^overheid]],IF(_xlpm.Var_Delta&gt;0,_xlpm.Var_Delta,0))</f>
        <v>0</v>
      </c>
      <c r="CG17" s="8">
        <f ca="1">_xlfn.LET(_xlpm.Var_Delta,Table_LuT_Deelnemers[[#This Row],[Gevraagde Subsidie EO]]-Table_LuT_Deelnemers[[#This Row],[Maximale Subsidie EO - HTSM^overheid]],IF(_xlpm.Var_Delta&gt;0,_xlpm.Var_Delta,0))</f>
        <v>0</v>
      </c>
      <c r="CH17" s="8">
        <f ca="1">_xlfn.LET(_xlpm.Var_Delta,Table_LuT_Deelnemers[[#This Row],[Gevraagde Subsidie Totaal]]-Table_LuT_Deelnemers[[#This Row],[Maximale Subsidie Totaal - HTSM^overheid]],IF(_xlpm.Var_Delta&gt;0,_xlpm.Var_Delta,0))</f>
        <v>0</v>
      </c>
      <c r="CI17" s="11">
        <f>SUMIFS(Table_LuT_Deelnemers[Gevraagde Subsidie Totaal],Table_LuT_Deelnemers[Is MKB?],TRUE)</f>
        <v>0</v>
      </c>
      <c r="CJ17" s="11">
        <f>SUMIFS(Table_LuT_Deelnemers[Gevraagde Subsidie Totaal],Table_LuT_Deelnemers[Is OO?],TRUE)</f>
        <v>0</v>
      </c>
      <c r="CK17" s="11" t="b" cm="1">
        <f t="array" ref="CK17">IF(Var_Sub.instr.="MKB",Table_LuT_Deelnemers[[#This Row],[SUM Gevraagde Subsidie MKBs]]&lt;=Var_MaxSub_MKB_call_MKB,TRUE)</f>
        <v>1</v>
      </c>
      <c r="CL17" s="243" t="b" cm="1">
        <f t="array" ref="CL17">IF(Var_Sub.instr.="MKB",Table_LuT_Deelnemers[[#This Row],[SUM Gevraagde Subsidie OOs]]&lt;=Var_MaxSub_MKB_call_OO,TRUE)</f>
        <v>1</v>
      </c>
      <c r="CM17" s="8">
        <f ca="1">SUMIFS(Table_LuT_Begroting_Deelnemers[Maximale Subsidie - overheid],Table_LuT_Begroting_Deelnemers[Verkorte Referentienaam Deelnemer],Table_LuT_Deelnemers[[#This Row],[Verkorte Referentienaam Deelnemer]],Table_LuT_Begroting_Deelnemers[FO | IO | EO],"FO")</f>
        <v>0</v>
      </c>
      <c r="CN17" s="8">
        <f ca="1">SUMIFS(Table_LuT_Begroting_Deelnemers[Maximale Subsidie - overheid],Table_LuT_Begroting_Deelnemers[Verkorte Referentienaam Deelnemer],Table_LuT_Deelnemers[[#This Row],[Verkorte Referentienaam Deelnemer]],Table_LuT_Begroting_Deelnemers[FO | IO | EO],"IO")</f>
        <v>0</v>
      </c>
      <c r="CO17" s="8">
        <f ca="1">SUMIFS(Table_LuT_Begroting_Deelnemers[Maximale Subsidie - overheid],Table_LuT_Begroting_Deelnemers[Verkorte Referentienaam Deelnemer],Table_LuT_Deelnemers[[#This Row],[Verkorte Referentienaam Deelnemer]],Table_LuT_Begroting_Deelnemers[FO | IO | EO],"EO")</f>
        <v>0</v>
      </c>
      <c r="CP17" s="328">
        <f ca="1">SUMIFS(Table_LuT_Begroting_Deelnemers[Maximale Subsidie - overheid],Table_LuT_Begroting_Deelnemers[Verkorte Referentienaam Deelnemer],Table_LuT_Deelnemers[[#This Row],[Verkorte Referentienaam Deelnemer]])</f>
        <v>0</v>
      </c>
      <c r="CQ17" s="8">
        <f ca="1">IF(Table_LuT_Deelnemers[[#This Row],[Is OO?]],Table_LuT_Deelnemers[[#This Row],[Maximale Subsidie FO - overheid]],Table_LuT_Deelnemers[[#This Row],[Maximale Subsidie FO - HTSM]])</f>
        <v>0</v>
      </c>
      <c r="CR17" s="8">
        <f ca="1">IF(Table_LuT_Deelnemers[[#This Row],[Is OO?]],Table_LuT_Deelnemers[[#This Row],[Maximale Subsidie IO - overheid]],Table_LuT_Deelnemers[[#This Row],[Maximale Subsidie IO - HTSM]])</f>
        <v>0</v>
      </c>
      <c r="CS17" s="8">
        <f ca="1">IF(Table_LuT_Deelnemers[[#This Row],[Is OO?]],Table_LuT_Deelnemers[[#This Row],[Maximale Subsidie EO - overheid]],Table_LuT_Deelnemers[[#This Row],[Maximale Subsidie EO - HTSM]])</f>
        <v>0</v>
      </c>
      <c r="CT17" s="328">
        <f ca="1">IF(Table_LuT_Deelnemers[[#This Row],[Is OO?]],Table_LuT_Deelnemers[[#This Row],[Maximale Subsidie Totaal - overheid]],Table_LuT_Deelnemers[[#This Row],[Maximale Subsidie Totaal - HTSM]])</f>
        <v>0</v>
      </c>
      <c r="CU17" s="11">
        <f>SUMIFS(Table_LuT_Deelnemers[Gevraagde Subsidie Totaal],Table_LuT_Deelnemers[Is OO?],TRUE)</f>
        <v>0</v>
      </c>
      <c r="CV17" s="11">
        <f ca="1">SUMIFS(Table_LuT_Begroting_Deelnemers[Maximale Subsidie OO - overheid],Table_LuT_Begroting_Deelnemers[Is OO?],TRUE)</f>
        <v>0</v>
      </c>
      <c r="CW17" s="11">
        <f ca="1">SUMIFS(Table_LuT_Begroting_Deelnemers[Maximale Subsidie OO - HTSM],Table_LuT_Begroting_Deelnemers[Is OO?],TRUE)</f>
        <v>0</v>
      </c>
      <c r="CX17" s="11">
        <f ca="1">SUMIFS(Table_LuT_Begroting_Deelnemers[Maximale Subsidie MKB - HTSM],Table_LuT_Begroting_Deelnemers[Is MKB?],TRUE)</f>
        <v>0</v>
      </c>
      <c r="CY17" s="11">
        <f ca="1">Table_LuT_Deelnemers[[#This Row],[SUM Maximale Subsidie - OO - HTSM]]+Table_LuT_Deelnemers[[#This Row],[SUM Maximale Subsidie - MKB - HTSM]]</f>
        <v>0</v>
      </c>
      <c r="CZ17" s="11">
        <f ca="1">MIN(Table_LuT_Deelnemers[[#This Row],[SUM  Maximale Subsidie - OO - overheid]],Table_LuT_Deelnemers[[#This Row],[SUM Maximale Subsidie - OO+MKB - HTSM]])</f>
        <v>0</v>
      </c>
    </row>
    <row r="18" spans="1:104" ht="15" customHeight="1" x14ac:dyDescent="0.25">
      <c r="A18" s="2" t="s">
        <v>195</v>
      </c>
      <c r="B18" s="2" t="s">
        <v>205</v>
      </c>
      <c r="C18" s="2" t="s">
        <v>215</v>
      </c>
      <c r="D18" s="3" t="str">
        <f>Table_LuT_Deelnemers[[#This Row],[ID Deelnemer]]</f>
        <v>Deelnemer 17</v>
      </c>
      <c r="E18" s="3" t="str" cm="1">
        <f t="array" ref="E18">IF(NOT(Table_LuT_Deelnemers[[#This Row],[DN niet leeg?]]),"",_xlfn.XLOOKUP(Table_LuT_Deelnemers[[#This Row],[ID Deelnemer]],INDEX(Range_Deelnemer_Nrs,,1),INDEX(Range_Deelnemer_Nrs,,2),"",0,1))</f>
        <v/>
      </c>
      <c r="F18" s="3" t="str" cm="1">
        <f t="array" ref="F18">IF(NOT(Table_LuT_Deelnemers[[#This Row],[Type Organisatie niet leeg?]]),"",_xlfn.XLOOKUP(Table_LuT_Deelnemers[[#This Row],[ID Deelnemer]],INDEX(Range_Deelnemer_Nrs,,1),INDEX(Range_Deelnemer_Nrs,,3),"",0,1))</f>
        <v/>
      </c>
      <c r="G18" s="3" t="str" cm="1">
        <f t="array" ref="G18">IF(NOT(Table_LuT_Deelnemers[[#This Row],[Type Organisatie niet leeg?]]),"",_xlfn.XLOOKUP(Table_LuT_Deelnemers[[#This Row],[Type Organisatie]],ValList_Type_Organisatie,Table_Val_List_Type_Org[TO]))</f>
        <v/>
      </c>
      <c r="H18" s="3" t="str" cm="1">
        <f t="array" ref="H18">IF(NOT(Table_LuT_Deelnemers[[#This Row],[KVK niet leeg?]]),"",_xlfn.XLOOKUP(Table_LuT_Deelnemers[[#This Row],[ID Deelnemer]],INDEX(Range_Deelnemer_Nrs,,1),INDEX(Range_Deelnemer_Nrs,,4),"",0,1))</f>
        <v/>
      </c>
      <c r="I18" s="3" t="str" cm="1">
        <f t="array" ref="I18">IF(NOT(Table_LuT_Deelnemers[[#This Row],[DN niet leeg?]]),"",IF(NOT(Table_LuT_Deelnemers[[#This Row],[Is Buitenlandse Organisatie]]),"",_xlfn.XLOOKUP(Table_LuT_Deelnemers[[#This Row],[ID Deelnemer]],INDEX(Range_Deelnemer_Nrs,,1),INDEX(Range_Deelnemer_Nrs,,5),"",0,1)))</f>
        <v/>
      </c>
      <c r="J18" s="3" t="str" cm="1">
        <f t="array" ref="J18">IF(NOT(Table_LuT_Deelnemers[[#This Row],[DN niet leeg?]]),"",_xlfn.XLOOKUP(Table_LuT_Deelnemers[[#This Row],[ID Deelnemer]],INDEX(Range_Deelnemer_Nrs,,1),INDEX(Range_Deelnemer_Nrs,,6),"",0,1)&lt;&gt;"nee")</f>
        <v/>
      </c>
      <c r="K18" s="3" t="str" cm="1">
        <f t="array" ref="K18">IF(NOT(Table_LuT_Deelnemers[[#This Row],[DN niet leeg?]]),"",_xlfn.LET(_xlpm.website,_xlfn.XLOOKUP(Table_LuT_Deelnemers[[#This Row],[ID Deelnemer]],INDEX(Range_Deelnemer_Nrs,,1),INDEX(Range_Deelnemer_Nrs,,7),"",0,1),IF(_xlpm.website=0,"",_xlpm.website)))</f>
        <v/>
      </c>
      <c r="L18" s="19" t="str" cm="1">
        <f t="array" aca="1" ref="L18" ca="1">IF(INDIRECT("'"&amp;Table_LuT_Deelnemers[[#This Row],[Naam Sheet]]&amp;"'!Kostensystematiek")="[Maak een keuze]","",INDIRECT("'"&amp;Table_LuT_Deelnemers[[#This Row],[Naam Sheet]]&amp;"'!Kostensystematiek"))</f>
        <v/>
      </c>
      <c r="M18" s="3" t="b">
        <f>Table_LuT_Deelnemers[[#This Row],[Type Organisatie]]="MKB"</f>
        <v>0</v>
      </c>
      <c r="N18" s="3" t="b">
        <f>Table_LuT_Deelnemers[[#This Row],[Type Organisatie]]="Onderzoeksorganisatie"</f>
        <v>0</v>
      </c>
      <c r="O18" s="3" t="b">
        <f>Table_LuT_Deelnemers[[#This Row],[Type Organisatie]]="Grootbedrijf"</f>
        <v>0</v>
      </c>
      <c r="P18" s="19" t="b">
        <f>Table_LuT_Deelnemers[[#This Row],[Verkorte Referentienaam Deelnemer]]="DN1"</f>
        <v>0</v>
      </c>
      <c r="Q18" s="3" t="b">
        <f t="shared" si="0"/>
        <v>0</v>
      </c>
      <c r="R18" s="3" t="b">
        <f t="shared" si="1"/>
        <v>0</v>
      </c>
      <c r="S18" s="3" t="b" cm="1">
        <f t="array" ref="S18">NOT(ISBLANK(_xlfn.XLOOKUP(Table_LuT_Deelnemers[[#This Row],[ID Deelnemer]],INDEX(Range_Deelnemer_Nrs,,1),INDEX(Range_Deelnemer_Nrs,,2),"",0,1)))</f>
        <v>0</v>
      </c>
      <c r="T18" s="3" t="b" cm="1">
        <f t="array" ref="T18">_xlfn.XLOOKUP(Table_LuT_Deelnemers[[#This Row],[ID Deelnemer]],INDEX(Range_Deelnemer_Nrs,,1),INDEX(Range_Deelnemer_Nrs,,3),"",0,1)&lt;&gt;"[Maak een keuze]"</f>
        <v>0</v>
      </c>
      <c r="U18" s="3" t="b" cm="1">
        <f t="array" ref="U18">NOT(ISBLANK(_xlfn.XLOOKUP(Table_LuT_Deelnemers[[#This Row],[ID Deelnemer]],INDEX(Range_Deelnemer_Nrs,,1),INDEX(Range_Deelnemer_Nrs,,4),"",0,1)))</f>
        <v>0</v>
      </c>
      <c r="V18" s="3" t="b" cm="1">
        <f t="array" ref="V18">NOT(ISBLANK(_xlfn.XLOOKUP(Table_LuT_Deelnemers[[#This Row],[ID Deelnemer]],INDEX(Range_Deelnemer_Nrs,,1),INDEX(Range_Deelnemer_Nrs,,5),"",0,1)))</f>
        <v>0</v>
      </c>
      <c r="W18" s="19" t="b" cm="1">
        <f t="array" aca="1" ref="W18" ca="1">INDIRECT("'"&amp;Table_LuT_Deelnemers[[#This Row],[Naam Sheet]]&amp;"'!Kostensystematiek")&lt;&gt;"[Maak een keuze]"</f>
        <v>0</v>
      </c>
      <c r="X18" s="248" t="b">
        <f>OR(NOT(Table_LuT_Deelnemers[[#This Row],[DN niet leeg?]]),Table_LuT_Deelnemers[[#This Row],[Is OO?]],NOT(Table_LuT_Deelnemers[[#This Row],[Is GB?]]))</f>
        <v>1</v>
      </c>
      <c r="Y18" s="3" t="b">
        <f>OR(Table_LuT_Deelnemers[[#This Row],[Verkorte Referentienaam Deelnemer]]&lt;&gt;"DN1",NOT(Table_LuT_Deelnemers[[#This Row],[Penvoerder niet leeg?]]),AND(Subsidie_instrument&lt;&gt;"[Maak een keuze]",NOT(ISBLANK(Projecttitel)),NOT(ISBLANK(Projectacroniem))))</f>
        <v>1</v>
      </c>
      <c r="Z18" s="3" t="b">
        <f t="shared" si="2"/>
        <v>1</v>
      </c>
      <c r="AA18" s="3" t="b">
        <f t="shared" si="3"/>
        <v>1</v>
      </c>
      <c r="AB18" s="3" t="b">
        <f>OR(Table_LuT_Deelnemers[[#This Row],[Verkorte Referentienaam Deelnemer]]&lt;&gt;"DN1",Table_LuT_Deelnemers[[#This Row],[Penvoerder niet leeg?]],NOT(Table_LuT_Deelnemers[[#This Row],[DN2 niet leeg?]]))</f>
        <v>1</v>
      </c>
      <c r="AC18" s="3" t="b">
        <f>OR(Table_LuT_Deelnemers[[#This Row],[Verkorte Referentienaam Deelnemer]]&lt;&gt;"DN2",NOT(_xlfn.XOR(Table_LuT_Deelnemers[[#This Row],[Penvoerder niet leeg?]],Table_LuT_Deelnemers[[#This Row],[DN2 niet leeg?]])))</f>
        <v>1</v>
      </c>
      <c r="AD18" s="3" t="b">
        <f>OR(Table_LuT_Deelnemers[[#This Row],[Verkorte Referentienaam Deelnemer]]="DN1",NOT(Table_LuT_Deelnemers[[#This Row],[DN niet leeg?]]),AND(S$2:S17))</f>
        <v>1</v>
      </c>
      <c r="AE18"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18" s="3" t="b">
        <f>OR(NOT(Table_LuT_Deelnemers[[#This Row],[DN niet leeg?]]),NOT(Table_LuT_Deelnemers[[#This Row],[DN2 niet leeg?]]),OR(Table_LuT_Deelnemers[Is OO?]))</f>
        <v>1</v>
      </c>
      <c r="AG18" s="3" t="b">
        <f>OR(Table_LuT_Deelnemers[[#This Row],[Verkorte Referentienaam Deelnemer]]="DN1",NOT(_xlfn.XOR(Table_LuT_Deelnemers[[#This Row],[DN niet leeg?]],Table_LuT_Deelnemers[[#This Row],[Type Organisatie niet leeg?]])))</f>
        <v>1</v>
      </c>
      <c r="AH18" s="3" t="b">
        <f>OR(Table_LuT_Deelnemers[[#This Row],[Verkorte Referentienaam Deelnemer]]&lt;&gt;"DN1",NOT(Table_LuT_Deelnemers[[#This Row],[Penvoerder niet leeg?]]),NOT(Table_LuT_Deelnemers[[#This Row],[Is Buitenlandse Organisatie]]))</f>
        <v>1</v>
      </c>
      <c r="AI18" s="3" t="b">
        <f>OR(NOT(Table_LuT_Deelnemers[[#This Row],[DN niet leeg?]]),Table_LuT_Deelnemers[[#This Row],[Is Buitenlandse Organisatie]],Table_LuT_Deelnemers[[#This Row],[KVK niet leeg?]])</f>
        <v>1</v>
      </c>
      <c r="AJ18" s="3" t="b">
        <f>OR(NOT(Table_LuT_Deelnemers[[#This Row],[DN niet leeg?]]),Table_LuT_Deelnemers[[#This Row],[Is Buitenlandse Organisatie]],AND(Table_LuT_Deelnemers[[#This Row],[KVK niet leeg?]],LEN(Table_LuT_Deelnemers[[#This Row],[KVK-nummer]])&lt;=8))</f>
        <v>1</v>
      </c>
      <c r="AK18" s="3" t="b">
        <f>OR(NOT(Table_LuT_Deelnemers[[#This Row],[DN niet leeg?]]),NOT(Table_LuT_Deelnemers[[#This Row],[Is Buitenlandse Organisatie]]),NOT(Table_LuT_Deelnemers[[#This Row],[KVK niet leeg?]]))</f>
        <v>1</v>
      </c>
      <c r="AL18" s="3" t="b">
        <f ca="1">OR(NOT(Table_LuT_Deelnemers[[#This Row],[DN niet leeg?]]),Table_LuT_Deelnemers[[#This Row],[Kostensystematiek niet leeg?]])</f>
        <v>1</v>
      </c>
      <c r="AM18" s="3" t="b" cm="1">
        <f t="array" aca="1" ref="AM18" ca="1">INDIRECT("'"&amp;Table_LuT_Deelnemers[[#This Row],[ID Deelnemer]]&amp;"'!Check_Vaste_uurtarief")</f>
        <v>1</v>
      </c>
      <c r="AN18" s="3" t="b" cm="1">
        <f t="array" ref="AN18">OR(NOT(Table_LuT_Deelnemers[[#This Row],[Is Penvoerder?]]),NOT(Table_LuT_Deelnemers[[#This Row],[DN niet leeg?]]),AND(OR(Var_Sub.instr.="MKB",Table_LuT_Deelnemers[[#This Row],[Is OO?]]),OR(Var_Sub.instr.&lt;&gt;"MKB",Table_LuT_Deelnemers[[#This Row],[Is MKB?]])))</f>
        <v>1</v>
      </c>
      <c r="AO18" s="3" t="b" cm="1">
        <f t="array" ref="AO18">OR(NOT(Table_LuT_Deelnemers[[#This Row],[DN niet leeg?]]),Var_Sub.instr.&lt;&gt;"MKB",Table_LuT_Deelnemers[[#This Row],[Is OO?]],Table_LuT_Deelnemers[[#This Row],[Is MKB?]])</f>
        <v>1</v>
      </c>
      <c r="AP18" s="3" t="b" cm="1">
        <f t="array" aca="1" ref="AP18" ca="1">IFERROR(Minimale_Cash_CoF&lt;=SUMIFS(Table_LuT_Deelnemers[Cash Bijdrage],Table_LuT_Deelnemers[Type Organisatie],"&lt;&gt;Onderzoeksorganisatie"),FALSE)</f>
        <v>1</v>
      </c>
      <c r="AQ18" s="3" t="b" cm="1">
        <f t="array" aca="1" ref="AQ18" ca="1">IFERROR(Minimale_Cash_CoF&lt;=SUMIFS(Table_LuT_Deelnemers[Cash Ontvangen],Table_LuT_Deelnemers[Type Organisatie],"Onderzoeksorganisatie"),FALSE)</f>
        <v>1</v>
      </c>
      <c r="AR18" s="3" t="b" cm="1">
        <f t="array" aca="1" ref="AR18" ca="1">AND(((Table_LuT_Deelnemers[Cash Bijdrage])=0) + ((Table_LuT_Deelnemers[Cash Ontvangen])=0))</f>
        <v>1</v>
      </c>
      <c r="AS18" s="3" t="b">
        <f ca="1">IFERROR(ABS(Table_LuT_Deelnemers[[#Totals],[Cash Bijdrage]]-Table_LuT_Deelnemers[[#Totals],[Cash Ontvangen]])&lt;1,FALSE)</f>
        <v>1</v>
      </c>
      <c r="AT18" s="3" t="b">
        <f ca="1">IFERROR(Table_LuT_Deelnemers[[#This Row],[Maximale Subsidie FO - HTSM^overheid]]&gt;=Table_LuT_Deelnemers[[#This Row],[Gevraagde Subsidie FO]],FALSE)</f>
        <v>1</v>
      </c>
      <c r="AU18" s="3" t="b">
        <f ca="1">IFERROR(Table_LuT_Deelnemers[[#This Row],[Maximale Subsidie IO - HTSM^overheid]]&gt;=Table_LuT_Deelnemers[[#This Row],[Gevraagde Subsidie IO]],FALSE)</f>
        <v>1</v>
      </c>
      <c r="AV18" s="3" t="b">
        <f ca="1">IFERROR(Table_LuT_Deelnemers[[#This Row],[Maximale Subsidie EO - HTSM^overheid]]&gt;=Table_LuT_Deelnemers[[#This Row],[Gevraagde Subsidie EO]],FALSE)</f>
        <v>1</v>
      </c>
      <c r="AW18" s="3" t="b" cm="1">
        <f t="array" aca="1" ref="AW18"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18" s="3" t="b">
        <f ca="1">IFERROR(Table_LuT_Deelnemers[[#Totals],[Maximale Subsidie Totaal - HTSM]]&gt;=Table_LuT_Deelnemers[[#Totals],[Gevraagde Subsidie Totaal]],FALSE)</f>
        <v>1</v>
      </c>
      <c r="AY18" s="3" t="b" cm="1">
        <f t="array" aca="1" ref="AY18" ca="1">OR(NOT(Table_LuT_Deelnemers[[#This Row],[DN niet leeg?]]),Var_Sub.instr.="MKB",Table_LuT_Deelnemers[[#This Row],[Type Organisatie]]="Onderzoeksorganisatie",Table_LuT_Deelnemers[[#This Row],[Gevraagde Subsidie Totaal]]=0)</f>
        <v>1</v>
      </c>
      <c r="AZ18" s="3" t="b" cm="1">
        <f t="array" aca="1" ref="AZ18"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18" s="3" t="b" cm="1">
        <f t="array" aca="1" ref="BA18" ca="1">IFERROR(AND(ABS((Table_LuT_Deelnemers[Kosten Totaal])-(Table_LuT_Deelnemers[Financiering Totaal]))&lt;1),FALSE)</f>
        <v>1</v>
      </c>
      <c r="BB18" s="3" t="b">
        <f ca="1">IFERROR(ABS(Table_LuT_Deelnemers[[#Totals],[Financiering Totaal]]-Table_LuT_Deelnemers[[#Totals],[Kosten Totaal]])&lt;1,FALSE)</f>
        <v>1</v>
      </c>
      <c r="BC18" s="3" t="b" cm="1">
        <f t="array" aca="1" ref="BC18" ca="1">OR(Var_Sub.instr.&lt;&gt;"MKB",AND(Table_LuT_Deelnemers[Kosten FO]=0,Table_LuT_Deelnemers[Kosten EO]=0))</f>
        <v>1</v>
      </c>
      <c r="BD18" s="3" t="b" cm="1">
        <f t="array" ref="BD18">IF(Var_Sub.instr.="MKB",AND(Table_LuT_Deelnemers[Verhouding SUM kosten OOs / SUM kosten MKBs is OK?]),TRUE)</f>
        <v>1</v>
      </c>
      <c r="BE18" s="3" t="b" cm="1">
        <f t="array" ref="BE18">IF(Var_Sub.instr.="MKB",AND(Table_LuT_Deelnemers[SUM Maximale Subsidie MKBs &lt;= € 300,000, als MKB-call],Table_LuT_Deelnemers[SUM Maximale Subsidie OOs &lt;= € 150,000, als MKB-call]),TRUE)</f>
        <v>1</v>
      </c>
      <c r="BF18" s="3" t="b" cm="1">
        <f t="array" aca="1" ref="BF18" ca="1">AND(( (Table_LuT_Deelnemers[Naam Organisatie]&lt;&gt;"") + ((Table_LuT_Deelnemers[Cash Bijdrage]=0) * (Table_LuT_Deelnemers[Financiering Totaal]=0)) ))</f>
        <v>1</v>
      </c>
      <c r="BG18" s="3" t="b" cm="1">
        <f t="array" aca="1" ref="BG18" ca="1">IFERROR(AND((Table_LuT_Deelnemers[[Cash Bijdrage]:[Gevraagde Subsidie EO]]="") + (ISNUMBER(Table_LuT_Deelnemers[[Cash Bijdrage]:[Gevraagde Subsidie EO]]) * (Table_LuT_Deelnemers[[Cash Bijdrage]:[Gevraagde Subsidie EO]]&gt;=0) * (MOD(Table_LuT_Deelnemers[[Cash Bijdrage]:[Gevraagde Subsidie EO]],1)=0))),FALSE)</f>
        <v>1</v>
      </c>
      <c r="BH18" s="246" t="b">
        <f t="shared" si="4"/>
        <v>0</v>
      </c>
      <c r="BI18" s="19" t="b">
        <f ca="1">AND(Table_LuT_Deelnemers[[#This Row],[Check 005]:[Check 990]])</f>
        <v>0</v>
      </c>
      <c r="BJ18" s="11">
        <f>SUMIFS(Table_LuT_Deelnemers[Kosten Totaal],Table_LuT_Deelnemers[Is MKB?],TRUE)</f>
        <v>0</v>
      </c>
      <c r="BK18" s="11">
        <f>SUMIFS(Table_LuT_Deelnemers[Kosten Totaal],Table_LuT_Deelnemers[Is OO?],TRUE)</f>
        <v>0</v>
      </c>
      <c r="BL18" s="243" t="b" cm="1">
        <f t="array" ref="BL18">IF(Var_Sub.instr.="MKB",IF(Table_LuT_Deelnemers[[#This Row],[SUM Kosten MKBs]]=0,FALSE,Table_LuT_Deelnemers[[#This Row],[SUM Kosten OOs]]/Table_LuT_Deelnemers[[#This Row],[SUM Kosten MKBs]]&lt;=0.5),TRUE)</f>
        <v>1</v>
      </c>
      <c r="BM18" s="8" cm="1">
        <f t="array" aca="1" ref="BM18" ca="1">INDIRECT("Kst_FO_"&amp;Table_LuT_Deelnemers[[#This Row],[Verkorte Referentienaam Deelnemer]])</f>
        <v>0</v>
      </c>
      <c r="BN18" s="8" cm="1">
        <f t="array" aca="1" ref="BN18" ca="1">INDIRECT("Kst_IO_"&amp;Table_LuT_Deelnemers[[#This Row],[Verkorte Referentienaam Deelnemer]])</f>
        <v>0</v>
      </c>
      <c r="BO18" s="8" cm="1">
        <f t="array" aca="1" ref="BO18" ca="1">INDIRECT("Kst_EO_"&amp;Table_LuT_Deelnemers[[#This Row],[Verkorte Referentienaam Deelnemer]])</f>
        <v>0</v>
      </c>
      <c r="BP18" s="8" cm="1">
        <f t="array" aca="1" ref="BP18" ca="1">INDIRECT("Kst_Tot_"&amp;Table_LuT_Deelnemers[[#This Row],[Verkorte Referentienaam Deelnemer]])</f>
        <v>0</v>
      </c>
      <c r="BQ18" s="330" cm="1">
        <f t="array" aca="1" ref="BQ18" ca="1">INDIRECT("'"&amp;A18&amp;"'!Kosten_Apparatuur")</f>
        <v>0</v>
      </c>
      <c r="BR18" s="8" cm="1">
        <f t="array" aca="1" ref="BR18" ca="1">INDIRECT("Max_Sub_FO_"&amp;Table_LuT_Deelnemers[[#This Row],[Verkorte Referentienaam Deelnemer]])</f>
        <v>0</v>
      </c>
      <c r="BS18" s="8" cm="1">
        <f t="array" aca="1" ref="BS18" ca="1">INDIRECT("Max_Sub_IO_"&amp;Table_LuT_Deelnemers[[#This Row],[Verkorte Referentienaam Deelnemer]])</f>
        <v>0</v>
      </c>
      <c r="BT18" s="8" cm="1">
        <f t="array" aca="1" ref="BT18" ca="1">INDIRECT("Max_Sub_EO_"&amp;Table_LuT_Deelnemers[[#This Row],[Verkorte Referentienaam Deelnemer]])</f>
        <v>0</v>
      </c>
      <c r="BU18" s="328" cm="1">
        <f t="array" aca="1" ref="BU18" ca="1">INDIRECT("Max_Sub_"&amp;Table_LuT_Deelnemers[[#This Row],[Verkorte Referentienaam Deelnemer]])</f>
        <v>0</v>
      </c>
      <c r="BV18" s="190" cm="1">
        <f t="array" aca="1" ref="BV18" ca="1">INDIRECT("Cash_"&amp;Table_LuT_Deelnemers[[#This Row],[Verkorte Referentienaam Deelnemer]])</f>
        <v>0</v>
      </c>
      <c r="BW18" s="8" cm="1">
        <f t="array" aca="1" ref="BW18" ca="1">INDIRECT("Cash_Ontvangen_"&amp;Table_LuT_Deelnemers[[#This Row],[Verkorte Referentienaam Deelnemer]])</f>
        <v>0</v>
      </c>
      <c r="BX18" s="8" cm="1">
        <f t="array" aca="1" ref="BX18" ca="1">INDIRECT("In_kind_"&amp;Table_LuT_Deelnemers[[#This Row],[Verkorte Referentienaam Deelnemer]])</f>
        <v>0</v>
      </c>
      <c r="BY18" s="8" cm="1">
        <f t="array" aca="1" ref="BY18" ca="1">INDIRECT("Overige_Subsidies_"&amp;Table_LuT_Deelnemers[[#This Row],[Verkorte Referentienaam Deelnemer]])</f>
        <v>0</v>
      </c>
      <c r="BZ18" s="190" cm="1">
        <f t="array" aca="1" ref="BZ18" ca="1">INDIRECT("Subsidie_FO_"&amp;Table_LuT_Deelnemers[[#This Row],[Verkorte Referentienaam Deelnemer]])</f>
        <v>0</v>
      </c>
      <c r="CA18" s="190" cm="1">
        <f t="array" aca="1" ref="CA18" ca="1">INDIRECT("Subsidie_IO_"&amp;Table_LuT_Deelnemers[[#This Row],[Verkorte Referentienaam Deelnemer]])</f>
        <v>0</v>
      </c>
      <c r="CB18" s="190" cm="1">
        <f t="array" aca="1" ref="CB18" ca="1">INDIRECT("Subsidie_EO_"&amp;Table_LuT_Deelnemers[[#This Row],[Verkorte Referentienaam Deelnemer]])</f>
        <v>0</v>
      </c>
      <c r="CC18" s="8" cm="1">
        <f t="array" aca="1" ref="CC18" ca="1">INDIRECT("Subsidie_"&amp;Table_LuT_Deelnemers[[#This Row],[Verkorte Referentienaam Deelnemer]])</f>
        <v>0</v>
      </c>
      <c r="CD18" s="254" cm="1">
        <f t="array" aca="1" ref="CD18" ca="1">INDIRECT("Fin_Tot_"&amp;Table_LuT_Deelnemers[[#This Row],[Verkorte Referentienaam Deelnemer]])</f>
        <v>0</v>
      </c>
      <c r="CE18" s="8">
        <f ca="1">_xlfn.LET(_xlpm.Var_Delta,Table_LuT_Deelnemers[[#This Row],[Gevraagde Subsidie FO]]-Table_LuT_Deelnemers[[#This Row],[Maximale Subsidie FO - HTSM^overheid]],IF(_xlpm.Var_Delta&gt;0,_xlpm.Var_Delta,0))</f>
        <v>0</v>
      </c>
      <c r="CF18" s="8">
        <f ca="1">_xlfn.LET(_xlpm.Var_Delta,Table_LuT_Deelnemers[[#This Row],[Gevraagde Subsidie IO]]-Table_LuT_Deelnemers[[#This Row],[Maximale Subsidie IO - HTSM^overheid]],IF(_xlpm.Var_Delta&gt;0,_xlpm.Var_Delta,0))</f>
        <v>0</v>
      </c>
      <c r="CG18" s="8">
        <f ca="1">_xlfn.LET(_xlpm.Var_Delta,Table_LuT_Deelnemers[[#This Row],[Gevraagde Subsidie EO]]-Table_LuT_Deelnemers[[#This Row],[Maximale Subsidie EO - HTSM^overheid]],IF(_xlpm.Var_Delta&gt;0,_xlpm.Var_Delta,0))</f>
        <v>0</v>
      </c>
      <c r="CH18" s="8">
        <f ca="1">_xlfn.LET(_xlpm.Var_Delta,Table_LuT_Deelnemers[[#This Row],[Gevraagde Subsidie Totaal]]-Table_LuT_Deelnemers[[#This Row],[Maximale Subsidie Totaal - HTSM^overheid]],IF(_xlpm.Var_Delta&gt;0,_xlpm.Var_Delta,0))</f>
        <v>0</v>
      </c>
      <c r="CI18" s="11">
        <f>SUMIFS(Table_LuT_Deelnemers[Gevraagde Subsidie Totaal],Table_LuT_Deelnemers[Is MKB?],TRUE)</f>
        <v>0</v>
      </c>
      <c r="CJ18" s="11">
        <f>SUMIFS(Table_LuT_Deelnemers[Gevraagde Subsidie Totaal],Table_LuT_Deelnemers[Is OO?],TRUE)</f>
        <v>0</v>
      </c>
      <c r="CK18" s="11" t="b" cm="1">
        <f t="array" ref="CK18">IF(Var_Sub.instr.="MKB",Table_LuT_Deelnemers[[#This Row],[SUM Gevraagde Subsidie MKBs]]&lt;=Var_MaxSub_MKB_call_MKB,TRUE)</f>
        <v>1</v>
      </c>
      <c r="CL18" s="243" t="b" cm="1">
        <f t="array" ref="CL18">IF(Var_Sub.instr.="MKB",Table_LuT_Deelnemers[[#This Row],[SUM Gevraagde Subsidie OOs]]&lt;=Var_MaxSub_MKB_call_OO,TRUE)</f>
        <v>1</v>
      </c>
      <c r="CM18" s="8">
        <f ca="1">SUMIFS(Table_LuT_Begroting_Deelnemers[Maximale Subsidie - overheid],Table_LuT_Begroting_Deelnemers[Verkorte Referentienaam Deelnemer],Table_LuT_Deelnemers[[#This Row],[Verkorte Referentienaam Deelnemer]],Table_LuT_Begroting_Deelnemers[FO | IO | EO],"FO")</f>
        <v>0</v>
      </c>
      <c r="CN18" s="8">
        <f ca="1">SUMIFS(Table_LuT_Begroting_Deelnemers[Maximale Subsidie - overheid],Table_LuT_Begroting_Deelnemers[Verkorte Referentienaam Deelnemer],Table_LuT_Deelnemers[[#This Row],[Verkorte Referentienaam Deelnemer]],Table_LuT_Begroting_Deelnemers[FO | IO | EO],"IO")</f>
        <v>0</v>
      </c>
      <c r="CO18" s="8">
        <f ca="1">SUMIFS(Table_LuT_Begroting_Deelnemers[Maximale Subsidie - overheid],Table_LuT_Begroting_Deelnemers[Verkorte Referentienaam Deelnemer],Table_LuT_Deelnemers[[#This Row],[Verkorte Referentienaam Deelnemer]],Table_LuT_Begroting_Deelnemers[FO | IO | EO],"EO")</f>
        <v>0</v>
      </c>
      <c r="CP18" s="328">
        <f ca="1">SUMIFS(Table_LuT_Begroting_Deelnemers[Maximale Subsidie - overheid],Table_LuT_Begroting_Deelnemers[Verkorte Referentienaam Deelnemer],Table_LuT_Deelnemers[[#This Row],[Verkorte Referentienaam Deelnemer]])</f>
        <v>0</v>
      </c>
      <c r="CQ18" s="8">
        <f ca="1">IF(Table_LuT_Deelnemers[[#This Row],[Is OO?]],Table_LuT_Deelnemers[[#This Row],[Maximale Subsidie FO - overheid]],Table_LuT_Deelnemers[[#This Row],[Maximale Subsidie FO - HTSM]])</f>
        <v>0</v>
      </c>
      <c r="CR18" s="8">
        <f ca="1">IF(Table_LuT_Deelnemers[[#This Row],[Is OO?]],Table_LuT_Deelnemers[[#This Row],[Maximale Subsidie IO - overheid]],Table_LuT_Deelnemers[[#This Row],[Maximale Subsidie IO - HTSM]])</f>
        <v>0</v>
      </c>
      <c r="CS18" s="8">
        <f ca="1">IF(Table_LuT_Deelnemers[[#This Row],[Is OO?]],Table_LuT_Deelnemers[[#This Row],[Maximale Subsidie EO - overheid]],Table_LuT_Deelnemers[[#This Row],[Maximale Subsidie EO - HTSM]])</f>
        <v>0</v>
      </c>
      <c r="CT18" s="328">
        <f ca="1">IF(Table_LuT_Deelnemers[[#This Row],[Is OO?]],Table_LuT_Deelnemers[[#This Row],[Maximale Subsidie Totaal - overheid]],Table_LuT_Deelnemers[[#This Row],[Maximale Subsidie Totaal - HTSM]])</f>
        <v>0</v>
      </c>
      <c r="CU18" s="11">
        <f>SUMIFS(Table_LuT_Deelnemers[Gevraagde Subsidie Totaal],Table_LuT_Deelnemers[Is OO?],TRUE)</f>
        <v>0</v>
      </c>
      <c r="CV18" s="11">
        <f ca="1">SUMIFS(Table_LuT_Begroting_Deelnemers[Maximale Subsidie OO - overheid],Table_LuT_Begroting_Deelnemers[Is OO?],TRUE)</f>
        <v>0</v>
      </c>
      <c r="CW18" s="11">
        <f ca="1">SUMIFS(Table_LuT_Begroting_Deelnemers[Maximale Subsidie OO - HTSM],Table_LuT_Begroting_Deelnemers[Is OO?],TRUE)</f>
        <v>0</v>
      </c>
      <c r="CX18" s="11">
        <f ca="1">SUMIFS(Table_LuT_Begroting_Deelnemers[Maximale Subsidie MKB - HTSM],Table_LuT_Begroting_Deelnemers[Is MKB?],TRUE)</f>
        <v>0</v>
      </c>
      <c r="CY18" s="11">
        <f ca="1">Table_LuT_Deelnemers[[#This Row],[SUM Maximale Subsidie - OO - HTSM]]+Table_LuT_Deelnemers[[#This Row],[SUM Maximale Subsidie - MKB - HTSM]]</f>
        <v>0</v>
      </c>
      <c r="CZ18" s="11">
        <f ca="1">MIN(Table_LuT_Deelnemers[[#This Row],[SUM  Maximale Subsidie - OO - overheid]],Table_LuT_Deelnemers[[#This Row],[SUM Maximale Subsidie - OO+MKB - HTSM]])</f>
        <v>0</v>
      </c>
    </row>
    <row r="19" spans="1:104" ht="15" customHeight="1" x14ac:dyDescent="0.25">
      <c r="A19" s="2" t="s">
        <v>196</v>
      </c>
      <c r="B19" s="2" t="s">
        <v>206</v>
      </c>
      <c r="C19" s="2" t="s">
        <v>216</v>
      </c>
      <c r="D19" s="3" t="str">
        <f>Table_LuT_Deelnemers[[#This Row],[ID Deelnemer]]</f>
        <v>Deelnemer 18</v>
      </c>
      <c r="E19" s="3" t="str" cm="1">
        <f t="array" ref="E19">IF(NOT(Table_LuT_Deelnemers[[#This Row],[DN niet leeg?]]),"",_xlfn.XLOOKUP(Table_LuT_Deelnemers[[#This Row],[ID Deelnemer]],INDEX(Range_Deelnemer_Nrs,,1),INDEX(Range_Deelnemer_Nrs,,2),"",0,1))</f>
        <v/>
      </c>
      <c r="F19" s="3" t="str" cm="1">
        <f t="array" ref="F19">IF(NOT(Table_LuT_Deelnemers[[#This Row],[Type Organisatie niet leeg?]]),"",_xlfn.XLOOKUP(Table_LuT_Deelnemers[[#This Row],[ID Deelnemer]],INDEX(Range_Deelnemer_Nrs,,1),INDEX(Range_Deelnemer_Nrs,,3),"",0,1))</f>
        <v/>
      </c>
      <c r="G19" s="3" t="str" cm="1">
        <f t="array" ref="G19">IF(NOT(Table_LuT_Deelnemers[[#This Row],[Type Organisatie niet leeg?]]),"",_xlfn.XLOOKUP(Table_LuT_Deelnemers[[#This Row],[Type Organisatie]],ValList_Type_Organisatie,Table_Val_List_Type_Org[TO]))</f>
        <v/>
      </c>
      <c r="H19" s="3" t="str" cm="1">
        <f t="array" ref="H19">IF(NOT(Table_LuT_Deelnemers[[#This Row],[KVK niet leeg?]]),"",_xlfn.XLOOKUP(Table_LuT_Deelnemers[[#This Row],[ID Deelnemer]],INDEX(Range_Deelnemer_Nrs,,1),INDEX(Range_Deelnemer_Nrs,,4),"",0,1))</f>
        <v/>
      </c>
      <c r="I19" s="3" t="str" cm="1">
        <f t="array" ref="I19">IF(NOT(Table_LuT_Deelnemers[[#This Row],[DN niet leeg?]]),"",IF(NOT(Table_LuT_Deelnemers[[#This Row],[Is Buitenlandse Organisatie]]),"",_xlfn.XLOOKUP(Table_LuT_Deelnemers[[#This Row],[ID Deelnemer]],INDEX(Range_Deelnemer_Nrs,,1),INDEX(Range_Deelnemer_Nrs,,5),"",0,1)))</f>
        <v/>
      </c>
      <c r="J19" s="3" t="str" cm="1">
        <f t="array" ref="J19">IF(NOT(Table_LuT_Deelnemers[[#This Row],[DN niet leeg?]]),"",_xlfn.XLOOKUP(Table_LuT_Deelnemers[[#This Row],[ID Deelnemer]],INDEX(Range_Deelnemer_Nrs,,1),INDEX(Range_Deelnemer_Nrs,,6),"",0,1)&lt;&gt;"nee")</f>
        <v/>
      </c>
      <c r="K19" s="3" t="str" cm="1">
        <f t="array" ref="K19">IF(NOT(Table_LuT_Deelnemers[[#This Row],[DN niet leeg?]]),"",_xlfn.LET(_xlpm.website,_xlfn.XLOOKUP(Table_LuT_Deelnemers[[#This Row],[ID Deelnemer]],INDEX(Range_Deelnemer_Nrs,,1),INDEX(Range_Deelnemer_Nrs,,7),"",0,1),IF(_xlpm.website=0,"",_xlpm.website)))</f>
        <v/>
      </c>
      <c r="L19" s="19" t="str" cm="1">
        <f t="array" aca="1" ref="L19" ca="1">IF(INDIRECT("'"&amp;Table_LuT_Deelnemers[[#This Row],[Naam Sheet]]&amp;"'!Kostensystematiek")="[Maak een keuze]","",INDIRECT("'"&amp;Table_LuT_Deelnemers[[#This Row],[Naam Sheet]]&amp;"'!Kostensystematiek"))</f>
        <v/>
      </c>
      <c r="M19" s="3" t="b">
        <f>Table_LuT_Deelnemers[[#This Row],[Type Organisatie]]="MKB"</f>
        <v>0</v>
      </c>
      <c r="N19" s="3" t="b">
        <f>Table_LuT_Deelnemers[[#This Row],[Type Organisatie]]="Onderzoeksorganisatie"</f>
        <v>0</v>
      </c>
      <c r="O19" s="3" t="b">
        <f>Table_LuT_Deelnemers[[#This Row],[Type Organisatie]]="Grootbedrijf"</f>
        <v>0</v>
      </c>
      <c r="P19" s="19" t="b">
        <f>Table_LuT_Deelnemers[[#This Row],[Verkorte Referentienaam Deelnemer]]="DN1"</f>
        <v>0</v>
      </c>
      <c r="Q19" s="3" t="b">
        <f t="shared" si="0"/>
        <v>0</v>
      </c>
      <c r="R19" s="3" t="b">
        <f t="shared" si="1"/>
        <v>0</v>
      </c>
      <c r="S19" s="3" t="b" cm="1">
        <f t="array" ref="S19">NOT(ISBLANK(_xlfn.XLOOKUP(Table_LuT_Deelnemers[[#This Row],[ID Deelnemer]],INDEX(Range_Deelnemer_Nrs,,1),INDEX(Range_Deelnemer_Nrs,,2),"",0,1)))</f>
        <v>0</v>
      </c>
      <c r="T19" s="3" t="b" cm="1">
        <f t="array" ref="T19">_xlfn.XLOOKUP(Table_LuT_Deelnemers[[#This Row],[ID Deelnemer]],INDEX(Range_Deelnemer_Nrs,,1),INDEX(Range_Deelnemer_Nrs,,3),"",0,1)&lt;&gt;"[Maak een keuze]"</f>
        <v>0</v>
      </c>
      <c r="U19" s="3" t="b" cm="1">
        <f t="array" ref="U19">NOT(ISBLANK(_xlfn.XLOOKUP(Table_LuT_Deelnemers[[#This Row],[ID Deelnemer]],INDEX(Range_Deelnemer_Nrs,,1),INDEX(Range_Deelnemer_Nrs,,4),"",0,1)))</f>
        <v>0</v>
      </c>
      <c r="V19" s="3" t="b" cm="1">
        <f t="array" ref="V19">NOT(ISBLANK(_xlfn.XLOOKUP(Table_LuT_Deelnemers[[#This Row],[ID Deelnemer]],INDEX(Range_Deelnemer_Nrs,,1),INDEX(Range_Deelnemer_Nrs,,5),"",0,1)))</f>
        <v>0</v>
      </c>
      <c r="W19" s="19" t="b" cm="1">
        <f t="array" aca="1" ref="W19" ca="1">INDIRECT("'"&amp;Table_LuT_Deelnemers[[#This Row],[Naam Sheet]]&amp;"'!Kostensystematiek")&lt;&gt;"[Maak een keuze]"</f>
        <v>0</v>
      </c>
      <c r="X19" s="248" t="b">
        <f>OR(NOT(Table_LuT_Deelnemers[[#This Row],[DN niet leeg?]]),Table_LuT_Deelnemers[[#This Row],[Is OO?]],NOT(Table_LuT_Deelnemers[[#This Row],[Is GB?]]))</f>
        <v>1</v>
      </c>
      <c r="Y19" s="3" t="b">
        <f>OR(Table_LuT_Deelnemers[[#This Row],[Verkorte Referentienaam Deelnemer]]&lt;&gt;"DN1",NOT(Table_LuT_Deelnemers[[#This Row],[Penvoerder niet leeg?]]),AND(Subsidie_instrument&lt;&gt;"[Maak een keuze]",NOT(ISBLANK(Projecttitel)),NOT(ISBLANK(Projectacroniem))))</f>
        <v>1</v>
      </c>
      <c r="Z19" s="3" t="b">
        <f t="shared" si="2"/>
        <v>1</v>
      </c>
      <c r="AA19" s="3" t="b">
        <f t="shared" si="3"/>
        <v>1</v>
      </c>
      <c r="AB19" s="3" t="b">
        <f>OR(Table_LuT_Deelnemers[[#This Row],[Verkorte Referentienaam Deelnemer]]&lt;&gt;"DN1",Table_LuT_Deelnemers[[#This Row],[Penvoerder niet leeg?]],NOT(Table_LuT_Deelnemers[[#This Row],[DN2 niet leeg?]]))</f>
        <v>1</v>
      </c>
      <c r="AC19" s="3" t="b">
        <f>OR(Table_LuT_Deelnemers[[#This Row],[Verkorte Referentienaam Deelnemer]]&lt;&gt;"DN2",NOT(_xlfn.XOR(Table_LuT_Deelnemers[[#This Row],[Penvoerder niet leeg?]],Table_LuT_Deelnemers[[#This Row],[DN2 niet leeg?]])))</f>
        <v>1</v>
      </c>
      <c r="AD19" s="3" t="b">
        <f>OR(Table_LuT_Deelnemers[[#This Row],[Verkorte Referentienaam Deelnemer]]="DN1",NOT(Table_LuT_Deelnemers[[#This Row],[DN niet leeg?]]),AND(S$2:S18))</f>
        <v>1</v>
      </c>
      <c r="AE19"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19" s="3" t="b">
        <f>OR(NOT(Table_LuT_Deelnemers[[#This Row],[DN niet leeg?]]),NOT(Table_LuT_Deelnemers[[#This Row],[DN2 niet leeg?]]),OR(Table_LuT_Deelnemers[Is OO?]))</f>
        <v>1</v>
      </c>
      <c r="AG19" s="3" t="b">
        <f>OR(Table_LuT_Deelnemers[[#This Row],[Verkorte Referentienaam Deelnemer]]="DN1",NOT(_xlfn.XOR(Table_LuT_Deelnemers[[#This Row],[DN niet leeg?]],Table_LuT_Deelnemers[[#This Row],[Type Organisatie niet leeg?]])))</f>
        <v>1</v>
      </c>
      <c r="AH19" s="3" t="b">
        <f>OR(Table_LuT_Deelnemers[[#This Row],[Verkorte Referentienaam Deelnemer]]&lt;&gt;"DN1",NOT(Table_LuT_Deelnemers[[#This Row],[Penvoerder niet leeg?]]),NOT(Table_LuT_Deelnemers[[#This Row],[Is Buitenlandse Organisatie]]))</f>
        <v>1</v>
      </c>
      <c r="AI19" s="3" t="b">
        <f>OR(NOT(Table_LuT_Deelnemers[[#This Row],[DN niet leeg?]]),Table_LuT_Deelnemers[[#This Row],[Is Buitenlandse Organisatie]],Table_LuT_Deelnemers[[#This Row],[KVK niet leeg?]])</f>
        <v>1</v>
      </c>
      <c r="AJ19" s="3" t="b">
        <f>OR(NOT(Table_LuT_Deelnemers[[#This Row],[DN niet leeg?]]),Table_LuT_Deelnemers[[#This Row],[Is Buitenlandse Organisatie]],AND(Table_LuT_Deelnemers[[#This Row],[KVK niet leeg?]],LEN(Table_LuT_Deelnemers[[#This Row],[KVK-nummer]])&lt;=8))</f>
        <v>1</v>
      </c>
      <c r="AK19" s="3" t="b">
        <f>OR(NOT(Table_LuT_Deelnemers[[#This Row],[DN niet leeg?]]),NOT(Table_LuT_Deelnemers[[#This Row],[Is Buitenlandse Organisatie]]),NOT(Table_LuT_Deelnemers[[#This Row],[KVK niet leeg?]]))</f>
        <v>1</v>
      </c>
      <c r="AL19" s="3" t="b">
        <f ca="1">OR(NOT(Table_LuT_Deelnemers[[#This Row],[DN niet leeg?]]),Table_LuT_Deelnemers[[#This Row],[Kostensystematiek niet leeg?]])</f>
        <v>1</v>
      </c>
      <c r="AM19" s="3" t="b" cm="1">
        <f t="array" aca="1" ref="AM19" ca="1">INDIRECT("'"&amp;Table_LuT_Deelnemers[[#This Row],[ID Deelnemer]]&amp;"'!Check_Vaste_uurtarief")</f>
        <v>1</v>
      </c>
      <c r="AN19" s="3" t="b" cm="1">
        <f t="array" ref="AN19">OR(NOT(Table_LuT_Deelnemers[[#This Row],[Is Penvoerder?]]),NOT(Table_LuT_Deelnemers[[#This Row],[DN niet leeg?]]),AND(OR(Var_Sub.instr.="MKB",Table_LuT_Deelnemers[[#This Row],[Is OO?]]),OR(Var_Sub.instr.&lt;&gt;"MKB",Table_LuT_Deelnemers[[#This Row],[Is MKB?]])))</f>
        <v>1</v>
      </c>
      <c r="AO19" s="3" t="b" cm="1">
        <f t="array" ref="AO19">OR(NOT(Table_LuT_Deelnemers[[#This Row],[DN niet leeg?]]),Var_Sub.instr.&lt;&gt;"MKB",Table_LuT_Deelnemers[[#This Row],[Is OO?]],Table_LuT_Deelnemers[[#This Row],[Is MKB?]])</f>
        <v>1</v>
      </c>
      <c r="AP19" s="3" t="b" cm="1">
        <f t="array" aca="1" ref="AP19" ca="1">IFERROR(Minimale_Cash_CoF&lt;=SUMIFS(Table_LuT_Deelnemers[Cash Bijdrage],Table_LuT_Deelnemers[Type Organisatie],"&lt;&gt;Onderzoeksorganisatie"),FALSE)</f>
        <v>1</v>
      </c>
      <c r="AQ19" s="3" t="b" cm="1">
        <f t="array" aca="1" ref="AQ19" ca="1">IFERROR(Minimale_Cash_CoF&lt;=SUMIFS(Table_LuT_Deelnemers[Cash Ontvangen],Table_LuT_Deelnemers[Type Organisatie],"Onderzoeksorganisatie"),FALSE)</f>
        <v>1</v>
      </c>
      <c r="AR19" s="3" t="b" cm="1">
        <f t="array" aca="1" ref="AR19" ca="1">AND(((Table_LuT_Deelnemers[Cash Bijdrage])=0) + ((Table_LuT_Deelnemers[Cash Ontvangen])=0))</f>
        <v>1</v>
      </c>
      <c r="AS19" s="3" t="b">
        <f ca="1">IFERROR(ABS(Table_LuT_Deelnemers[[#Totals],[Cash Bijdrage]]-Table_LuT_Deelnemers[[#Totals],[Cash Ontvangen]])&lt;1,FALSE)</f>
        <v>1</v>
      </c>
      <c r="AT19" s="3" t="b">
        <f ca="1">IFERROR(Table_LuT_Deelnemers[[#This Row],[Maximale Subsidie FO - HTSM^overheid]]&gt;=Table_LuT_Deelnemers[[#This Row],[Gevraagde Subsidie FO]],FALSE)</f>
        <v>1</v>
      </c>
      <c r="AU19" s="3" t="b">
        <f ca="1">IFERROR(Table_LuT_Deelnemers[[#This Row],[Maximale Subsidie IO - HTSM^overheid]]&gt;=Table_LuT_Deelnemers[[#This Row],[Gevraagde Subsidie IO]],FALSE)</f>
        <v>1</v>
      </c>
      <c r="AV19" s="3" t="b">
        <f ca="1">IFERROR(Table_LuT_Deelnemers[[#This Row],[Maximale Subsidie EO - HTSM^overheid]]&gt;=Table_LuT_Deelnemers[[#This Row],[Gevraagde Subsidie EO]],FALSE)</f>
        <v>1</v>
      </c>
      <c r="AW19" s="3" t="b" cm="1">
        <f t="array" aca="1" ref="AW19"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19" s="3" t="b">
        <f ca="1">IFERROR(Table_LuT_Deelnemers[[#Totals],[Maximale Subsidie Totaal - HTSM]]&gt;=Table_LuT_Deelnemers[[#Totals],[Gevraagde Subsidie Totaal]],FALSE)</f>
        <v>1</v>
      </c>
      <c r="AY19" s="3" t="b" cm="1">
        <f t="array" aca="1" ref="AY19" ca="1">OR(NOT(Table_LuT_Deelnemers[[#This Row],[DN niet leeg?]]),Var_Sub.instr.="MKB",Table_LuT_Deelnemers[[#This Row],[Type Organisatie]]="Onderzoeksorganisatie",Table_LuT_Deelnemers[[#This Row],[Gevraagde Subsidie Totaal]]=0)</f>
        <v>1</v>
      </c>
      <c r="AZ19" s="3" t="b" cm="1">
        <f t="array" aca="1" ref="AZ19"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19" s="3" t="b" cm="1">
        <f t="array" aca="1" ref="BA19" ca="1">IFERROR(AND(ABS((Table_LuT_Deelnemers[Kosten Totaal])-(Table_LuT_Deelnemers[Financiering Totaal]))&lt;1),FALSE)</f>
        <v>1</v>
      </c>
      <c r="BB19" s="3" t="b">
        <f ca="1">IFERROR(ABS(Table_LuT_Deelnemers[[#Totals],[Financiering Totaal]]-Table_LuT_Deelnemers[[#Totals],[Kosten Totaal]])&lt;1,FALSE)</f>
        <v>1</v>
      </c>
      <c r="BC19" s="3" t="b" cm="1">
        <f t="array" aca="1" ref="BC19" ca="1">OR(Var_Sub.instr.&lt;&gt;"MKB",AND(Table_LuT_Deelnemers[Kosten FO]=0,Table_LuT_Deelnemers[Kosten EO]=0))</f>
        <v>1</v>
      </c>
      <c r="BD19" s="3" t="b" cm="1">
        <f t="array" ref="BD19">IF(Var_Sub.instr.="MKB",AND(Table_LuT_Deelnemers[Verhouding SUM kosten OOs / SUM kosten MKBs is OK?]),TRUE)</f>
        <v>1</v>
      </c>
      <c r="BE19" s="3" t="b" cm="1">
        <f t="array" ref="BE19">IF(Var_Sub.instr.="MKB",AND(Table_LuT_Deelnemers[SUM Maximale Subsidie MKBs &lt;= € 300,000, als MKB-call],Table_LuT_Deelnemers[SUM Maximale Subsidie OOs &lt;= € 150,000, als MKB-call]),TRUE)</f>
        <v>1</v>
      </c>
      <c r="BF19" s="3" t="b" cm="1">
        <f t="array" aca="1" ref="BF19" ca="1">AND(( (Table_LuT_Deelnemers[Naam Organisatie]&lt;&gt;"") + ((Table_LuT_Deelnemers[Cash Bijdrage]=0) * (Table_LuT_Deelnemers[Financiering Totaal]=0)) ))</f>
        <v>1</v>
      </c>
      <c r="BG19" s="3" t="b" cm="1">
        <f t="array" aca="1" ref="BG19" ca="1">IFERROR(AND((Table_LuT_Deelnemers[[Cash Bijdrage]:[Gevraagde Subsidie EO]]="") + (ISNUMBER(Table_LuT_Deelnemers[[Cash Bijdrage]:[Gevraagde Subsidie EO]]) * (Table_LuT_Deelnemers[[Cash Bijdrage]:[Gevraagde Subsidie EO]]&gt;=0) * (MOD(Table_LuT_Deelnemers[[Cash Bijdrage]:[Gevraagde Subsidie EO]],1)=0))),FALSE)</f>
        <v>1</v>
      </c>
      <c r="BH19" s="246" t="b">
        <f t="shared" si="4"/>
        <v>0</v>
      </c>
      <c r="BI19" s="19" t="b">
        <f ca="1">AND(Table_LuT_Deelnemers[[#This Row],[Check 005]:[Check 990]])</f>
        <v>0</v>
      </c>
      <c r="BJ19" s="11">
        <f>SUMIFS(Table_LuT_Deelnemers[Kosten Totaal],Table_LuT_Deelnemers[Is MKB?],TRUE)</f>
        <v>0</v>
      </c>
      <c r="BK19" s="11">
        <f>SUMIFS(Table_LuT_Deelnemers[Kosten Totaal],Table_LuT_Deelnemers[Is OO?],TRUE)</f>
        <v>0</v>
      </c>
      <c r="BL19" s="243" t="b" cm="1">
        <f t="array" ref="BL19">IF(Var_Sub.instr.="MKB",IF(Table_LuT_Deelnemers[[#This Row],[SUM Kosten MKBs]]=0,FALSE,Table_LuT_Deelnemers[[#This Row],[SUM Kosten OOs]]/Table_LuT_Deelnemers[[#This Row],[SUM Kosten MKBs]]&lt;=0.5),TRUE)</f>
        <v>1</v>
      </c>
      <c r="BM19" s="8" cm="1">
        <f t="array" aca="1" ref="BM19" ca="1">INDIRECT("Kst_FO_"&amp;Table_LuT_Deelnemers[[#This Row],[Verkorte Referentienaam Deelnemer]])</f>
        <v>0</v>
      </c>
      <c r="BN19" s="8" cm="1">
        <f t="array" aca="1" ref="BN19" ca="1">INDIRECT("Kst_IO_"&amp;Table_LuT_Deelnemers[[#This Row],[Verkorte Referentienaam Deelnemer]])</f>
        <v>0</v>
      </c>
      <c r="BO19" s="8" cm="1">
        <f t="array" aca="1" ref="BO19" ca="1">INDIRECT("Kst_EO_"&amp;Table_LuT_Deelnemers[[#This Row],[Verkorte Referentienaam Deelnemer]])</f>
        <v>0</v>
      </c>
      <c r="BP19" s="8" cm="1">
        <f t="array" aca="1" ref="BP19" ca="1">INDIRECT("Kst_Tot_"&amp;Table_LuT_Deelnemers[[#This Row],[Verkorte Referentienaam Deelnemer]])</f>
        <v>0</v>
      </c>
      <c r="BQ19" s="330" cm="1">
        <f t="array" aca="1" ref="BQ19" ca="1">INDIRECT("'"&amp;A19&amp;"'!Kosten_Apparatuur")</f>
        <v>0</v>
      </c>
      <c r="BR19" s="8" cm="1">
        <f t="array" aca="1" ref="BR19" ca="1">INDIRECT("Max_Sub_FO_"&amp;Table_LuT_Deelnemers[[#This Row],[Verkorte Referentienaam Deelnemer]])</f>
        <v>0</v>
      </c>
      <c r="BS19" s="8" cm="1">
        <f t="array" aca="1" ref="BS19" ca="1">INDIRECT("Max_Sub_IO_"&amp;Table_LuT_Deelnemers[[#This Row],[Verkorte Referentienaam Deelnemer]])</f>
        <v>0</v>
      </c>
      <c r="BT19" s="8" cm="1">
        <f t="array" aca="1" ref="BT19" ca="1">INDIRECT("Max_Sub_EO_"&amp;Table_LuT_Deelnemers[[#This Row],[Verkorte Referentienaam Deelnemer]])</f>
        <v>0</v>
      </c>
      <c r="BU19" s="328" cm="1">
        <f t="array" aca="1" ref="BU19" ca="1">INDIRECT("Max_Sub_"&amp;Table_LuT_Deelnemers[[#This Row],[Verkorte Referentienaam Deelnemer]])</f>
        <v>0</v>
      </c>
      <c r="BV19" s="190" cm="1">
        <f t="array" aca="1" ref="BV19" ca="1">INDIRECT("Cash_"&amp;Table_LuT_Deelnemers[[#This Row],[Verkorte Referentienaam Deelnemer]])</f>
        <v>0</v>
      </c>
      <c r="BW19" s="8" cm="1">
        <f t="array" aca="1" ref="BW19" ca="1">INDIRECT("Cash_Ontvangen_"&amp;Table_LuT_Deelnemers[[#This Row],[Verkorte Referentienaam Deelnemer]])</f>
        <v>0</v>
      </c>
      <c r="BX19" s="8" cm="1">
        <f t="array" aca="1" ref="BX19" ca="1">INDIRECT("In_kind_"&amp;Table_LuT_Deelnemers[[#This Row],[Verkorte Referentienaam Deelnemer]])</f>
        <v>0</v>
      </c>
      <c r="BY19" s="8" cm="1">
        <f t="array" aca="1" ref="BY19" ca="1">INDIRECT("Overige_Subsidies_"&amp;Table_LuT_Deelnemers[[#This Row],[Verkorte Referentienaam Deelnemer]])</f>
        <v>0</v>
      </c>
      <c r="BZ19" s="190" cm="1">
        <f t="array" aca="1" ref="BZ19" ca="1">INDIRECT("Subsidie_FO_"&amp;Table_LuT_Deelnemers[[#This Row],[Verkorte Referentienaam Deelnemer]])</f>
        <v>0</v>
      </c>
      <c r="CA19" s="190" cm="1">
        <f t="array" aca="1" ref="CA19" ca="1">INDIRECT("Subsidie_IO_"&amp;Table_LuT_Deelnemers[[#This Row],[Verkorte Referentienaam Deelnemer]])</f>
        <v>0</v>
      </c>
      <c r="CB19" s="190" cm="1">
        <f t="array" aca="1" ref="CB19" ca="1">INDIRECT("Subsidie_EO_"&amp;Table_LuT_Deelnemers[[#This Row],[Verkorte Referentienaam Deelnemer]])</f>
        <v>0</v>
      </c>
      <c r="CC19" s="8" cm="1">
        <f t="array" aca="1" ref="CC19" ca="1">INDIRECT("Subsidie_"&amp;Table_LuT_Deelnemers[[#This Row],[Verkorte Referentienaam Deelnemer]])</f>
        <v>0</v>
      </c>
      <c r="CD19" s="254" cm="1">
        <f t="array" aca="1" ref="CD19" ca="1">INDIRECT("Fin_Tot_"&amp;Table_LuT_Deelnemers[[#This Row],[Verkorte Referentienaam Deelnemer]])</f>
        <v>0</v>
      </c>
      <c r="CE19" s="8">
        <f ca="1">_xlfn.LET(_xlpm.Var_Delta,Table_LuT_Deelnemers[[#This Row],[Gevraagde Subsidie FO]]-Table_LuT_Deelnemers[[#This Row],[Maximale Subsidie FO - HTSM^overheid]],IF(_xlpm.Var_Delta&gt;0,_xlpm.Var_Delta,0))</f>
        <v>0</v>
      </c>
      <c r="CF19" s="8">
        <f ca="1">_xlfn.LET(_xlpm.Var_Delta,Table_LuT_Deelnemers[[#This Row],[Gevraagde Subsidie IO]]-Table_LuT_Deelnemers[[#This Row],[Maximale Subsidie IO - HTSM^overheid]],IF(_xlpm.Var_Delta&gt;0,_xlpm.Var_Delta,0))</f>
        <v>0</v>
      </c>
      <c r="CG19" s="8">
        <f ca="1">_xlfn.LET(_xlpm.Var_Delta,Table_LuT_Deelnemers[[#This Row],[Gevraagde Subsidie EO]]-Table_LuT_Deelnemers[[#This Row],[Maximale Subsidie EO - HTSM^overheid]],IF(_xlpm.Var_Delta&gt;0,_xlpm.Var_Delta,0))</f>
        <v>0</v>
      </c>
      <c r="CH19" s="8">
        <f ca="1">_xlfn.LET(_xlpm.Var_Delta,Table_LuT_Deelnemers[[#This Row],[Gevraagde Subsidie Totaal]]-Table_LuT_Deelnemers[[#This Row],[Maximale Subsidie Totaal - HTSM^overheid]],IF(_xlpm.Var_Delta&gt;0,_xlpm.Var_Delta,0))</f>
        <v>0</v>
      </c>
      <c r="CI19" s="11">
        <f>SUMIFS(Table_LuT_Deelnemers[Gevraagde Subsidie Totaal],Table_LuT_Deelnemers[Is MKB?],TRUE)</f>
        <v>0</v>
      </c>
      <c r="CJ19" s="11">
        <f>SUMIFS(Table_LuT_Deelnemers[Gevraagde Subsidie Totaal],Table_LuT_Deelnemers[Is OO?],TRUE)</f>
        <v>0</v>
      </c>
      <c r="CK19" s="11" t="b" cm="1">
        <f t="array" ref="CK19">IF(Var_Sub.instr.="MKB",Table_LuT_Deelnemers[[#This Row],[SUM Gevraagde Subsidie MKBs]]&lt;=Var_MaxSub_MKB_call_MKB,TRUE)</f>
        <v>1</v>
      </c>
      <c r="CL19" s="243" t="b" cm="1">
        <f t="array" ref="CL19">IF(Var_Sub.instr.="MKB",Table_LuT_Deelnemers[[#This Row],[SUM Gevraagde Subsidie OOs]]&lt;=Var_MaxSub_MKB_call_OO,TRUE)</f>
        <v>1</v>
      </c>
      <c r="CM19" s="8">
        <f ca="1">SUMIFS(Table_LuT_Begroting_Deelnemers[Maximale Subsidie - overheid],Table_LuT_Begroting_Deelnemers[Verkorte Referentienaam Deelnemer],Table_LuT_Deelnemers[[#This Row],[Verkorte Referentienaam Deelnemer]],Table_LuT_Begroting_Deelnemers[FO | IO | EO],"FO")</f>
        <v>0</v>
      </c>
      <c r="CN19" s="8">
        <f ca="1">SUMIFS(Table_LuT_Begroting_Deelnemers[Maximale Subsidie - overheid],Table_LuT_Begroting_Deelnemers[Verkorte Referentienaam Deelnemer],Table_LuT_Deelnemers[[#This Row],[Verkorte Referentienaam Deelnemer]],Table_LuT_Begroting_Deelnemers[FO | IO | EO],"IO")</f>
        <v>0</v>
      </c>
      <c r="CO19" s="8">
        <f ca="1">SUMIFS(Table_LuT_Begroting_Deelnemers[Maximale Subsidie - overheid],Table_LuT_Begroting_Deelnemers[Verkorte Referentienaam Deelnemer],Table_LuT_Deelnemers[[#This Row],[Verkorte Referentienaam Deelnemer]],Table_LuT_Begroting_Deelnemers[FO | IO | EO],"EO")</f>
        <v>0</v>
      </c>
      <c r="CP19" s="328">
        <f ca="1">SUMIFS(Table_LuT_Begroting_Deelnemers[Maximale Subsidie - overheid],Table_LuT_Begroting_Deelnemers[Verkorte Referentienaam Deelnemer],Table_LuT_Deelnemers[[#This Row],[Verkorte Referentienaam Deelnemer]])</f>
        <v>0</v>
      </c>
      <c r="CQ19" s="8">
        <f ca="1">IF(Table_LuT_Deelnemers[[#This Row],[Is OO?]],Table_LuT_Deelnemers[[#This Row],[Maximale Subsidie FO - overheid]],Table_LuT_Deelnemers[[#This Row],[Maximale Subsidie FO - HTSM]])</f>
        <v>0</v>
      </c>
      <c r="CR19" s="8">
        <f ca="1">IF(Table_LuT_Deelnemers[[#This Row],[Is OO?]],Table_LuT_Deelnemers[[#This Row],[Maximale Subsidie IO - overheid]],Table_LuT_Deelnemers[[#This Row],[Maximale Subsidie IO - HTSM]])</f>
        <v>0</v>
      </c>
      <c r="CS19" s="8">
        <f ca="1">IF(Table_LuT_Deelnemers[[#This Row],[Is OO?]],Table_LuT_Deelnemers[[#This Row],[Maximale Subsidie EO - overheid]],Table_LuT_Deelnemers[[#This Row],[Maximale Subsidie EO - HTSM]])</f>
        <v>0</v>
      </c>
      <c r="CT19" s="328">
        <f ca="1">IF(Table_LuT_Deelnemers[[#This Row],[Is OO?]],Table_LuT_Deelnemers[[#This Row],[Maximale Subsidie Totaal - overheid]],Table_LuT_Deelnemers[[#This Row],[Maximale Subsidie Totaal - HTSM]])</f>
        <v>0</v>
      </c>
      <c r="CU19" s="11">
        <f>SUMIFS(Table_LuT_Deelnemers[Gevraagde Subsidie Totaal],Table_LuT_Deelnemers[Is OO?],TRUE)</f>
        <v>0</v>
      </c>
      <c r="CV19" s="11">
        <f ca="1">SUMIFS(Table_LuT_Begroting_Deelnemers[Maximale Subsidie OO - overheid],Table_LuT_Begroting_Deelnemers[Is OO?],TRUE)</f>
        <v>0</v>
      </c>
      <c r="CW19" s="11">
        <f ca="1">SUMIFS(Table_LuT_Begroting_Deelnemers[Maximale Subsidie OO - HTSM],Table_LuT_Begroting_Deelnemers[Is OO?],TRUE)</f>
        <v>0</v>
      </c>
      <c r="CX19" s="11">
        <f ca="1">SUMIFS(Table_LuT_Begroting_Deelnemers[Maximale Subsidie MKB - HTSM],Table_LuT_Begroting_Deelnemers[Is MKB?],TRUE)</f>
        <v>0</v>
      </c>
      <c r="CY19" s="11">
        <f ca="1">Table_LuT_Deelnemers[[#This Row],[SUM Maximale Subsidie - OO - HTSM]]+Table_LuT_Deelnemers[[#This Row],[SUM Maximale Subsidie - MKB - HTSM]]</f>
        <v>0</v>
      </c>
      <c r="CZ19" s="11">
        <f ca="1">MIN(Table_LuT_Deelnemers[[#This Row],[SUM  Maximale Subsidie - OO - overheid]],Table_LuT_Deelnemers[[#This Row],[SUM Maximale Subsidie - OO+MKB - HTSM]])</f>
        <v>0</v>
      </c>
    </row>
    <row r="20" spans="1:104" ht="15" customHeight="1" x14ac:dyDescent="0.25">
      <c r="A20" s="2" t="s">
        <v>197</v>
      </c>
      <c r="B20" s="2" t="s">
        <v>207</v>
      </c>
      <c r="C20" s="2" t="s">
        <v>217</v>
      </c>
      <c r="D20" s="3" t="str">
        <f>Table_LuT_Deelnemers[[#This Row],[ID Deelnemer]]</f>
        <v>Deelnemer 19</v>
      </c>
      <c r="E20" s="3" t="str" cm="1">
        <f t="array" ref="E20">IF(NOT(Table_LuT_Deelnemers[[#This Row],[DN niet leeg?]]),"",_xlfn.XLOOKUP(Table_LuT_Deelnemers[[#This Row],[ID Deelnemer]],INDEX(Range_Deelnemer_Nrs,,1),INDEX(Range_Deelnemer_Nrs,,2),"",0,1))</f>
        <v/>
      </c>
      <c r="F20" s="3" t="str" cm="1">
        <f t="array" ref="F20">IF(NOT(Table_LuT_Deelnemers[[#This Row],[Type Organisatie niet leeg?]]),"",_xlfn.XLOOKUP(Table_LuT_Deelnemers[[#This Row],[ID Deelnemer]],INDEX(Range_Deelnemer_Nrs,,1),INDEX(Range_Deelnemer_Nrs,,3),"",0,1))</f>
        <v/>
      </c>
      <c r="G20" s="3" t="str" cm="1">
        <f t="array" ref="G20">IF(NOT(Table_LuT_Deelnemers[[#This Row],[Type Organisatie niet leeg?]]),"",_xlfn.XLOOKUP(Table_LuT_Deelnemers[[#This Row],[Type Organisatie]],ValList_Type_Organisatie,Table_Val_List_Type_Org[TO]))</f>
        <v/>
      </c>
      <c r="H20" s="3" t="str" cm="1">
        <f t="array" ref="H20">IF(NOT(Table_LuT_Deelnemers[[#This Row],[KVK niet leeg?]]),"",_xlfn.XLOOKUP(Table_LuT_Deelnemers[[#This Row],[ID Deelnemer]],INDEX(Range_Deelnemer_Nrs,,1),INDEX(Range_Deelnemer_Nrs,,4),"",0,1))</f>
        <v/>
      </c>
      <c r="I20" s="3" t="str" cm="1">
        <f t="array" ref="I20">IF(NOT(Table_LuT_Deelnemers[[#This Row],[DN niet leeg?]]),"",IF(NOT(Table_LuT_Deelnemers[[#This Row],[Is Buitenlandse Organisatie]]),"",_xlfn.XLOOKUP(Table_LuT_Deelnemers[[#This Row],[ID Deelnemer]],INDEX(Range_Deelnemer_Nrs,,1),INDEX(Range_Deelnemer_Nrs,,5),"",0,1)))</f>
        <v/>
      </c>
      <c r="J20" s="3" t="str" cm="1">
        <f t="array" ref="J20">IF(NOT(Table_LuT_Deelnemers[[#This Row],[DN niet leeg?]]),"",_xlfn.XLOOKUP(Table_LuT_Deelnemers[[#This Row],[ID Deelnemer]],INDEX(Range_Deelnemer_Nrs,,1),INDEX(Range_Deelnemer_Nrs,,6),"",0,1)&lt;&gt;"nee")</f>
        <v/>
      </c>
      <c r="K20" s="3" t="str" cm="1">
        <f t="array" ref="K20">IF(NOT(Table_LuT_Deelnemers[[#This Row],[DN niet leeg?]]),"",_xlfn.LET(_xlpm.website,_xlfn.XLOOKUP(Table_LuT_Deelnemers[[#This Row],[ID Deelnemer]],INDEX(Range_Deelnemer_Nrs,,1),INDEX(Range_Deelnemer_Nrs,,7),"",0,1),IF(_xlpm.website=0,"",_xlpm.website)))</f>
        <v/>
      </c>
      <c r="L20" s="19" t="str" cm="1">
        <f t="array" aca="1" ref="L20" ca="1">IF(INDIRECT("'"&amp;Table_LuT_Deelnemers[[#This Row],[Naam Sheet]]&amp;"'!Kostensystematiek")="[Maak een keuze]","",INDIRECT("'"&amp;Table_LuT_Deelnemers[[#This Row],[Naam Sheet]]&amp;"'!Kostensystematiek"))</f>
        <v/>
      </c>
      <c r="M20" s="3" t="b">
        <f>Table_LuT_Deelnemers[[#This Row],[Type Organisatie]]="MKB"</f>
        <v>0</v>
      </c>
      <c r="N20" s="3" t="b">
        <f>Table_LuT_Deelnemers[[#This Row],[Type Organisatie]]="Onderzoeksorganisatie"</f>
        <v>0</v>
      </c>
      <c r="O20" s="3" t="b">
        <f>Table_LuT_Deelnemers[[#This Row],[Type Organisatie]]="Grootbedrijf"</f>
        <v>0</v>
      </c>
      <c r="P20" s="19" t="b">
        <f>Table_LuT_Deelnemers[[#This Row],[Verkorte Referentienaam Deelnemer]]="DN1"</f>
        <v>0</v>
      </c>
      <c r="Q20" s="3" t="b">
        <f t="shared" si="0"/>
        <v>0</v>
      </c>
      <c r="R20" s="3" t="b">
        <f t="shared" si="1"/>
        <v>0</v>
      </c>
      <c r="S20" s="3" t="b" cm="1">
        <f t="array" ref="S20">NOT(ISBLANK(_xlfn.XLOOKUP(Table_LuT_Deelnemers[[#This Row],[ID Deelnemer]],INDEX(Range_Deelnemer_Nrs,,1),INDEX(Range_Deelnemer_Nrs,,2),"",0,1)))</f>
        <v>0</v>
      </c>
      <c r="T20" s="3" t="b" cm="1">
        <f t="array" ref="T20">_xlfn.XLOOKUP(Table_LuT_Deelnemers[[#This Row],[ID Deelnemer]],INDEX(Range_Deelnemer_Nrs,,1),INDEX(Range_Deelnemer_Nrs,,3),"",0,1)&lt;&gt;"[Maak een keuze]"</f>
        <v>0</v>
      </c>
      <c r="U20" s="3" t="b" cm="1">
        <f t="array" ref="U20">NOT(ISBLANK(_xlfn.XLOOKUP(Table_LuT_Deelnemers[[#This Row],[ID Deelnemer]],INDEX(Range_Deelnemer_Nrs,,1),INDEX(Range_Deelnemer_Nrs,,4),"",0,1)))</f>
        <v>0</v>
      </c>
      <c r="V20" s="3" t="b" cm="1">
        <f t="array" ref="V20">NOT(ISBLANK(_xlfn.XLOOKUP(Table_LuT_Deelnemers[[#This Row],[ID Deelnemer]],INDEX(Range_Deelnemer_Nrs,,1),INDEX(Range_Deelnemer_Nrs,,5),"",0,1)))</f>
        <v>0</v>
      </c>
      <c r="W20" s="19" t="b" cm="1">
        <f t="array" aca="1" ref="W20" ca="1">INDIRECT("'"&amp;Table_LuT_Deelnemers[[#This Row],[Naam Sheet]]&amp;"'!Kostensystematiek")&lt;&gt;"[Maak een keuze]"</f>
        <v>0</v>
      </c>
      <c r="X20" s="248" t="b">
        <f>OR(NOT(Table_LuT_Deelnemers[[#This Row],[DN niet leeg?]]),Table_LuT_Deelnemers[[#This Row],[Is OO?]],NOT(Table_LuT_Deelnemers[[#This Row],[Is GB?]]))</f>
        <v>1</v>
      </c>
      <c r="Y20" s="3" t="b">
        <f>OR(Table_LuT_Deelnemers[[#This Row],[Verkorte Referentienaam Deelnemer]]&lt;&gt;"DN1",NOT(Table_LuT_Deelnemers[[#This Row],[Penvoerder niet leeg?]]),AND(Subsidie_instrument&lt;&gt;"[Maak een keuze]",NOT(ISBLANK(Projecttitel)),NOT(ISBLANK(Projectacroniem))))</f>
        <v>1</v>
      </c>
      <c r="Z20" s="3" t="b">
        <f t="shared" si="2"/>
        <v>1</v>
      </c>
      <c r="AA20" s="3" t="b">
        <f t="shared" si="3"/>
        <v>1</v>
      </c>
      <c r="AB20" s="3" t="b">
        <f>OR(Table_LuT_Deelnemers[[#This Row],[Verkorte Referentienaam Deelnemer]]&lt;&gt;"DN1",Table_LuT_Deelnemers[[#This Row],[Penvoerder niet leeg?]],NOT(Table_LuT_Deelnemers[[#This Row],[DN2 niet leeg?]]))</f>
        <v>1</v>
      </c>
      <c r="AC20" s="3" t="b">
        <f>OR(Table_LuT_Deelnemers[[#This Row],[Verkorte Referentienaam Deelnemer]]&lt;&gt;"DN2",NOT(_xlfn.XOR(Table_LuT_Deelnemers[[#This Row],[Penvoerder niet leeg?]],Table_LuT_Deelnemers[[#This Row],[DN2 niet leeg?]])))</f>
        <v>1</v>
      </c>
      <c r="AD20" s="3" t="b">
        <f>OR(Table_LuT_Deelnemers[[#This Row],[Verkorte Referentienaam Deelnemer]]="DN1",NOT(Table_LuT_Deelnemers[[#This Row],[DN niet leeg?]]),AND(S$2:S19))</f>
        <v>1</v>
      </c>
      <c r="AE20"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20" s="3" t="b">
        <f>OR(NOT(Table_LuT_Deelnemers[[#This Row],[DN niet leeg?]]),NOT(Table_LuT_Deelnemers[[#This Row],[DN2 niet leeg?]]),OR(Table_LuT_Deelnemers[Is OO?]))</f>
        <v>1</v>
      </c>
      <c r="AG20" s="3" t="b">
        <f>OR(Table_LuT_Deelnemers[[#This Row],[Verkorte Referentienaam Deelnemer]]="DN1",NOT(_xlfn.XOR(Table_LuT_Deelnemers[[#This Row],[DN niet leeg?]],Table_LuT_Deelnemers[[#This Row],[Type Organisatie niet leeg?]])))</f>
        <v>1</v>
      </c>
      <c r="AH20" s="3" t="b">
        <f>OR(Table_LuT_Deelnemers[[#This Row],[Verkorte Referentienaam Deelnemer]]&lt;&gt;"DN1",NOT(Table_LuT_Deelnemers[[#This Row],[Penvoerder niet leeg?]]),NOT(Table_LuT_Deelnemers[[#This Row],[Is Buitenlandse Organisatie]]))</f>
        <v>1</v>
      </c>
      <c r="AI20" s="3" t="b">
        <f>OR(NOT(Table_LuT_Deelnemers[[#This Row],[DN niet leeg?]]),Table_LuT_Deelnemers[[#This Row],[Is Buitenlandse Organisatie]],Table_LuT_Deelnemers[[#This Row],[KVK niet leeg?]])</f>
        <v>1</v>
      </c>
      <c r="AJ20" s="3" t="b">
        <f>OR(NOT(Table_LuT_Deelnemers[[#This Row],[DN niet leeg?]]),Table_LuT_Deelnemers[[#This Row],[Is Buitenlandse Organisatie]],AND(Table_LuT_Deelnemers[[#This Row],[KVK niet leeg?]],LEN(Table_LuT_Deelnemers[[#This Row],[KVK-nummer]])&lt;=8))</f>
        <v>1</v>
      </c>
      <c r="AK20" s="3" t="b">
        <f>OR(NOT(Table_LuT_Deelnemers[[#This Row],[DN niet leeg?]]),NOT(Table_LuT_Deelnemers[[#This Row],[Is Buitenlandse Organisatie]]),NOT(Table_LuT_Deelnemers[[#This Row],[KVK niet leeg?]]))</f>
        <v>1</v>
      </c>
      <c r="AL20" s="3" t="b">
        <f ca="1">OR(NOT(Table_LuT_Deelnemers[[#This Row],[DN niet leeg?]]),Table_LuT_Deelnemers[[#This Row],[Kostensystematiek niet leeg?]])</f>
        <v>1</v>
      </c>
      <c r="AM20" s="3" t="b" cm="1">
        <f t="array" aca="1" ref="AM20" ca="1">INDIRECT("'"&amp;Table_LuT_Deelnemers[[#This Row],[ID Deelnemer]]&amp;"'!Check_Vaste_uurtarief")</f>
        <v>1</v>
      </c>
      <c r="AN20" s="3" t="b" cm="1">
        <f t="array" ref="AN20">OR(NOT(Table_LuT_Deelnemers[[#This Row],[Is Penvoerder?]]),NOT(Table_LuT_Deelnemers[[#This Row],[DN niet leeg?]]),AND(OR(Var_Sub.instr.="MKB",Table_LuT_Deelnemers[[#This Row],[Is OO?]]),OR(Var_Sub.instr.&lt;&gt;"MKB",Table_LuT_Deelnemers[[#This Row],[Is MKB?]])))</f>
        <v>1</v>
      </c>
      <c r="AO20" s="3" t="b" cm="1">
        <f t="array" ref="AO20">OR(NOT(Table_LuT_Deelnemers[[#This Row],[DN niet leeg?]]),Var_Sub.instr.&lt;&gt;"MKB",Table_LuT_Deelnemers[[#This Row],[Is OO?]],Table_LuT_Deelnemers[[#This Row],[Is MKB?]])</f>
        <v>1</v>
      </c>
      <c r="AP20" s="3" t="b" cm="1">
        <f t="array" aca="1" ref="AP20" ca="1">IFERROR(Minimale_Cash_CoF&lt;=SUMIFS(Table_LuT_Deelnemers[Cash Bijdrage],Table_LuT_Deelnemers[Type Organisatie],"&lt;&gt;Onderzoeksorganisatie"),FALSE)</f>
        <v>1</v>
      </c>
      <c r="AQ20" s="3" t="b" cm="1">
        <f t="array" aca="1" ref="AQ20" ca="1">IFERROR(Minimale_Cash_CoF&lt;=SUMIFS(Table_LuT_Deelnemers[Cash Ontvangen],Table_LuT_Deelnemers[Type Organisatie],"Onderzoeksorganisatie"),FALSE)</f>
        <v>1</v>
      </c>
      <c r="AR20" s="3" t="b" cm="1">
        <f t="array" aca="1" ref="AR20" ca="1">AND(((Table_LuT_Deelnemers[Cash Bijdrage])=0) + ((Table_LuT_Deelnemers[Cash Ontvangen])=0))</f>
        <v>1</v>
      </c>
      <c r="AS20" s="3" t="b">
        <f ca="1">IFERROR(ABS(Table_LuT_Deelnemers[[#Totals],[Cash Bijdrage]]-Table_LuT_Deelnemers[[#Totals],[Cash Ontvangen]])&lt;1,FALSE)</f>
        <v>1</v>
      </c>
      <c r="AT20" s="3" t="b">
        <f ca="1">IFERROR(Table_LuT_Deelnemers[[#This Row],[Maximale Subsidie FO - HTSM^overheid]]&gt;=Table_LuT_Deelnemers[[#This Row],[Gevraagde Subsidie FO]],FALSE)</f>
        <v>1</v>
      </c>
      <c r="AU20" s="3" t="b">
        <f ca="1">IFERROR(Table_LuT_Deelnemers[[#This Row],[Maximale Subsidie IO - HTSM^overheid]]&gt;=Table_LuT_Deelnemers[[#This Row],[Gevraagde Subsidie IO]],FALSE)</f>
        <v>1</v>
      </c>
      <c r="AV20" s="3" t="b">
        <f ca="1">IFERROR(Table_LuT_Deelnemers[[#This Row],[Maximale Subsidie EO - HTSM^overheid]]&gt;=Table_LuT_Deelnemers[[#This Row],[Gevraagde Subsidie EO]],FALSE)</f>
        <v>1</v>
      </c>
      <c r="AW20" s="3" t="b" cm="1">
        <f t="array" aca="1" ref="AW20"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20" s="3" t="b">
        <f ca="1">IFERROR(Table_LuT_Deelnemers[[#Totals],[Maximale Subsidie Totaal - HTSM]]&gt;=Table_LuT_Deelnemers[[#Totals],[Gevraagde Subsidie Totaal]],FALSE)</f>
        <v>1</v>
      </c>
      <c r="AY20" s="3" t="b" cm="1">
        <f t="array" aca="1" ref="AY20" ca="1">OR(NOT(Table_LuT_Deelnemers[[#This Row],[DN niet leeg?]]),Var_Sub.instr.="MKB",Table_LuT_Deelnemers[[#This Row],[Type Organisatie]]="Onderzoeksorganisatie",Table_LuT_Deelnemers[[#This Row],[Gevraagde Subsidie Totaal]]=0)</f>
        <v>1</v>
      </c>
      <c r="AZ20" s="3" t="b" cm="1">
        <f t="array" aca="1" ref="AZ20"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20" s="3" t="b" cm="1">
        <f t="array" aca="1" ref="BA20" ca="1">IFERROR(AND(ABS((Table_LuT_Deelnemers[Kosten Totaal])-(Table_LuT_Deelnemers[Financiering Totaal]))&lt;1),FALSE)</f>
        <v>1</v>
      </c>
      <c r="BB20" s="3" t="b">
        <f ca="1">IFERROR(ABS(Table_LuT_Deelnemers[[#Totals],[Financiering Totaal]]-Table_LuT_Deelnemers[[#Totals],[Kosten Totaal]])&lt;1,FALSE)</f>
        <v>1</v>
      </c>
      <c r="BC20" s="3" t="b" cm="1">
        <f t="array" aca="1" ref="BC20" ca="1">OR(Var_Sub.instr.&lt;&gt;"MKB",AND(Table_LuT_Deelnemers[Kosten FO]=0,Table_LuT_Deelnemers[Kosten EO]=0))</f>
        <v>1</v>
      </c>
      <c r="BD20" s="3" t="b" cm="1">
        <f t="array" ref="BD20">IF(Var_Sub.instr.="MKB",AND(Table_LuT_Deelnemers[Verhouding SUM kosten OOs / SUM kosten MKBs is OK?]),TRUE)</f>
        <v>1</v>
      </c>
      <c r="BE20" s="3" t="b" cm="1">
        <f t="array" ref="BE20">IF(Var_Sub.instr.="MKB",AND(Table_LuT_Deelnemers[SUM Maximale Subsidie MKBs &lt;= € 300,000, als MKB-call],Table_LuT_Deelnemers[SUM Maximale Subsidie OOs &lt;= € 150,000, als MKB-call]),TRUE)</f>
        <v>1</v>
      </c>
      <c r="BF20" s="3" t="b" cm="1">
        <f t="array" aca="1" ref="BF20" ca="1">AND(( (Table_LuT_Deelnemers[Naam Organisatie]&lt;&gt;"") + ((Table_LuT_Deelnemers[Cash Bijdrage]=0) * (Table_LuT_Deelnemers[Financiering Totaal]=0)) ))</f>
        <v>1</v>
      </c>
      <c r="BG20" s="3" t="b" cm="1">
        <f t="array" aca="1" ref="BG20" ca="1">IFERROR(AND((Table_LuT_Deelnemers[[Cash Bijdrage]:[Gevraagde Subsidie EO]]="") + (ISNUMBER(Table_LuT_Deelnemers[[Cash Bijdrage]:[Gevraagde Subsidie EO]]) * (Table_LuT_Deelnemers[[Cash Bijdrage]:[Gevraagde Subsidie EO]]&gt;=0) * (MOD(Table_LuT_Deelnemers[[Cash Bijdrage]:[Gevraagde Subsidie EO]],1)=0))),FALSE)</f>
        <v>1</v>
      </c>
      <c r="BH20" s="246" t="b">
        <f t="shared" si="4"/>
        <v>0</v>
      </c>
      <c r="BI20" s="19" t="b">
        <f ca="1">AND(Table_LuT_Deelnemers[[#This Row],[Check 005]:[Check 990]])</f>
        <v>0</v>
      </c>
      <c r="BJ20" s="11">
        <f>SUMIFS(Table_LuT_Deelnemers[Kosten Totaal],Table_LuT_Deelnemers[Is MKB?],TRUE)</f>
        <v>0</v>
      </c>
      <c r="BK20" s="11">
        <f>SUMIFS(Table_LuT_Deelnemers[Kosten Totaal],Table_LuT_Deelnemers[Is OO?],TRUE)</f>
        <v>0</v>
      </c>
      <c r="BL20" s="243" t="b" cm="1">
        <f t="array" ref="BL20">IF(Var_Sub.instr.="MKB",IF(Table_LuT_Deelnemers[[#This Row],[SUM Kosten MKBs]]=0,FALSE,Table_LuT_Deelnemers[[#This Row],[SUM Kosten OOs]]/Table_LuT_Deelnemers[[#This Row],[SUM Kosten MKBs]]&lt;=0.5),TRUE)</f>
        <v>1</v>
      </c>
      <c r="BM20" s="8" cm="1">
        <f t="array" aca="1" ref="BM20" ca="1">INDIRECT("Kst_FO_"&amp;Table_LuT_Deelnemers[[#This Row],[Verkorte Referentienaam Deelnemer]])</f>
        <v>0</v>
      </c>
      <c r="BN20" s="8" cm="1">
        <f t="array" aca="1" ref="BN20" ca="1">INDIRECT("Kst_IO_"&amp;Table_LuT_Deelnemers[[#This Row],[Verkorte Referentienaam Deelnemer]])</f>
        <v>0</v>
      </c>
      <c r="BO20" s="8" cm="1">
        <f t="array" aca="1" ref="BO20" ca="1">INDIRECT("Kst_EO_"&amp;Table_LuT_Deelnemers[[#This Row],[Verkorte Referentienaam Deelnemer]])</f>
        <v>0</v>
      </c>
      <c r="BP20" s="8" cm="1">
        <f t="array" aca="1" ref="BP20" ca="1">INDIRECT("Kst_Tot_"&amp;Table_LuT_Deelnemers[[#This Row],[Verkorte Referentienaam Deelnemer]])</f>
        <v>0</v>
      </c>
      <c r="BQ20" s="330" cm="1">
        <f t="array" aca="1" ref="BQ20" ca="1">INDIRECT("'"&amp;A20&amp;"'!Kosten_Apparatuur")</f>
        <v>0</v>
      </c>
      <c r="BR20" s="8" cm="1">
        <f t="array" aca="1" ref="BR20" ca="1">INDIRECT("Max_Sub_FO_"&amp;Table_LuT_Deelnemers[[#This Row],[Verkorte Referentienaam Deelnemer]])</f>
        <v>0</v>
      </c>
      <c r="BS20" s="8" cm="1">
        <f t="array" aca="1" ref="BS20" ca="1">INDIRECT("Max_Sub_IO_"&amp;Table_LuT_Deelnemers[[#This Row],[Verkorte Referentienaam Deelnemer]])</f>
        <v>0</v>
      </c>
      <c r="BT20" s="8" cm="1">
        <f t="array" aca="1" ref="BT20" ca="1">INDIRECT("Max_Sub_EO_"&amp;Table_LuT_Deelnemers[[#This Row],[Verkorte Referentienaam Deelnemer]])</f>
        <v>0</v>
      </c>
      <c r="BU20" s="328" cm="1">
        <f t="array" aca="1" ref="BU20" ca="1">INDIRECT("Max_Sub_"&amp;Table_LuT_Deelnemers[[#This Row],[Verkorte Referentienaam Deelnemer]])</f>
        <v>0</v>
      </c>
      <c r="BV20" s="190" cm="1">
        <f t="array" aca="1" ref="BV20" ca="1">INDIRECT("Cash_"&amp;Table_LuT_Deelnemers[[#This Row],[Verkorte Referentienaam Deelnemer]])</f>
        <v>0</v>
      </c>
      <c r="BW20" s="8" cm="1">
        <f t="array" aca="1" ref="BW20" ca="1">INDIRECT("Cash_Ontvangen_"&amp;Table_LuT_Deelnemers[[#This Row],[Verkorte Referentienaam Deelnemer]])</f>
        <v>0</v>
      </c>
      <c r="BX20" s="8" cm="1">
        <f t="array" aca="1" ref="BX20" ca="1">INDIRECT("In_kind_"&amp;Table_LuT_Deelnemers[[#This Row],[Verkorte Referentienaam Deelnemer]])</f>
        <v>0</v>
      </c>
      <c r="BY20" s="8" cm="1">
        <f t="array" aca="1" ref="BY20" ca="1">INDIRECT("Overige_Subsidies_"&amp;Table_LuT_Deelnemers[[#This Row],[Verkorte Referentienaam Deelnemer]])</f>
        <v>0</v>
      </c>
      <c r="BZ20" s="190" cm="1">
        <f t="array" aca="1" ref="BZ20" ca="1">INDIRECT("Subsidie_FO_"&amp;Table_LuT_Deelnemers[[#This Row],[Verkorte Referentienaam Deelnemer]])</f>
        <v>0</v>
      </c>
      <c r="CA20" s="190" cm="1">
        <f t="array" aca="1" ref="CA20" ca="1">INDIRECT("Subsidie_IO_"&amp;Table_LuT_Deelnemers[[#This Row],[Verkorte Referentienaam Deelnemer]])</f>
        <v>0</v>
      </c>
      <c r="CB20" s="190" cm="1">
        <f t="array" aca="1" ref="CB20" ca="1">INDIRECT("Subsidie_EO_"&amp;Table_LuT_Deelnemers[[#This Row],[Verkorte Referentienaam Deelnemer]])</f>
        <v>0</v>
      </c>
      <c r="CC20" s="8" cm="1">
        <f t="array" aca="1" ref="CC20" ca="1">INDIRECT("Subsidie_"&amp;Table_LuT_Deelnemers[[#This Row],[Verkorte Referentienaam Deelnemer]])</f>
        <v>0</v>
      </c>
      <c r="CD20" s="254" cm="1">
        <f t="array" aca="1" ref="CD20" ca="1">INDIRECT("Fin_Tot_"&amp;Table_LuT_Deelnemers[[#This Row],[Verkorte Referentienaam Deelnemer]])</f>
        <v>0</v>
      </c>
      <c r="CE20" s="8">
        <f ca="1">_xlfn.LET(_xlpm.Var_Delta,Table_LuT_Deelnemers[[#This Row],[Gevraagde Subsidie FO]]-Table_LuT_Deelnemers[[#This Row],[Maximale Subsidie FO - HTSM^overheid]],IF(_xlpm.Var_Delta&gt;0,_xlpm.Var_Delta,0))</f>
        <v>0</v>
      </c>
      <c r="CF20" s="8">
        <f ca="1">_xlfn.LET(_xlpm.Var_Delta,Table_LuT_Deelnemers[[#This Row],[Gevraagde Subsidie IO]]-Table_LuT_Deelnemers[[#This Row],[Maximale Subsidie IO - HTSM^overheid]],IF(_xlpm.Var_Delta&gt;0,_xlpm.Var_Delta,0))</f>
        <v>0</v>
      </c>
      <c r="CG20" s="8">
        <f ca="1">_xlfn.LET(_xlpm.Var_Delta,Table_LuT_Deelnemers[[#This Row],[Gevraagde Subsidie EO]]-Table_LuT_Deelnemers[[#This Row],[Maximale Subsidie EO - HTSM^overheid]],IF(_xlpm.Var_Delta&gt;0,_xlpm.Var_Delta,0))</f>
        <v>0</v>
      </c>
      <c r="CH20" s="8">
        <f ca="1">_xlfn.LET(_xlpm.Var_Delta,Table_LuT_Deelnemers[[#This Row],[Gevraagde Subsidie Totaal]]-Table_LuT_Deelnemers[[#This Row],[Maximale Subsidie Totaal - HTSM^overheid]],IF(_xlpm.Var_Delta&gt;0,_xlpm.Var_Delta,0))</f>
        <v>0</v>
      </c>
      <c r="CI20" s="11">
        <f>SUMIFS(Table_LuT_Deelnemers[Gevraagde Subsidie Totaal],Table_LuT_Deelnemers[Is MKB?],TRUE)</f>
        <v>0</v>
      </c>
      <c r="CJ20" s="11">
        <f>SUMIFS(Table_LuT_Deelnemers[Gevraagde Subsidie Totaal],Table_LuT_Deelnemers[Is OO?],TRUE)</f>
        <v>0</v>
      </c>
      <c r="CK20" s="11" t="b" cm="1">
        <f t="array" ref="CK20">IF(Var_Sub.instr.="MKB",Table_LuT_Deelnemers[[#This Row],[SUM Gevraagde Subsidie MKBs]]&lt;=Var_MaxSub_MKB_call_MKB,TRUE)</f>
        <v>1</v>
      </c>
      <c r="CL20" s="243" t="b" cm="1">
        <f t="array" ref="CL20">IF(Var_Sub.instr.="MKB",Table_LuT_Deelnemers[[#This Row],[SUM Gevraagde Subsidie OOs]]&lt;=Var_MaxSub_MKB_call_OO,TRUE)</f>
        <v>1</v>
      </c>
      <c r="CM20" s="8">
        <f ca="1">SUMIFS(Table_LuT_Begroting_Deelnemers[Maximale Subsidie - overheid],Table_LuT_Begroting_Deelnemers[Verkorte Referentienaam Deelnemer],Table_LuT_Deelnemers[[#This Row],[Verkorte Referentienaam Deelnemer]],Table_LuT_Begroting_Deelnemers[FO | IO | EO],"FO")</f>
        <v>0</v>
      </c>
      <c r="CN20" s="8">
        <f ca="1">SUMIFS(Table_LuT_Begroting_Deelnemers[Maximale Subsidie - overheid],Table_LuT_Begroting_Deelnemers[Verkorte Referentienaam Deelnemer],Table_LuT_Deelnemers[[#This Row],[Verkorte Referentienaam Deelnemer]],Table_LuT_Begroting_Deelnemers[FO | IO | EO],"IO")</f>
        <v>0</v>
      </c>
      <c r="CO20" s="8">
        <f ca="1">SUMIFS(Table_LuT_Begroting_Deelnemers[Maximale Subsidie - overheid],Table_LuT_Begroting_Deelnemers[Verkorte Referentienaam Deelnemer],Table_LuT_Deelnemers[[#This Row],[Verkorte Referentienaam Deelnemer]],Table_LuT_Begroting_Deelnemers[FO | IO | EO],"EO")</f>
        <v>0</v>
      </c>
      <c r="CP20" s="328">
        <f ca="1">SUMIFS(Table_LuT_Begroting_Deelnemers[Maximale Subsidie - overheid],Table_LuT_Begroting_Deelnemers[Verkorte Referentienaam Deelnemer],Table_LuT_Deelnemers[[#This Row],[Verkorte Referentienaam Deelnemer]])</f>
        <v>0</v>
      </c>
      <c r="CQ20" s="8">
        <f ca="1">IF(Table_LuT_Deelnemers[[#This Row],[Is OO?]],Table_LuT_Deelnemers[[#This Row],[Maximale Subsidie FO - overheid]],Table_LuT_Deelnemers[[#This Row],[Maximale Subsidie FO - HTSM]])</f>
        <v>0</v>
      </c>
      <c r="CR20" s="8">
        <f ca="1">IF(Table_LuT_Deelnemers[[#This Row],[Is OO?]],Table_LuT_Deelnemers[[#This Row],[Maximale Subsidie IO - overheid]],Table_LuT_Deelnemers[[#This Row],[Maximale Subsidie IO - HTSM]])</f>
        <v>0</v>
      </c>
      <c r="CS20" s="8">
        <f ca="1">IF(Table_LuT_Deelnemers[[#This Row],[Is OO?]],Table_LuT_Deelnemers[[#This Row],[Maximale Subsidie EO - overheid]],Table_LuT_Deelnemers[[#This Row],[Maximale Subsidie EO - HTSM]])</f>
        <v>0</v>
      </c>
      <c r="CT20" s="328">
        <f ca="1">IF(Table_LuT_Deelnemers[[#This Row],[Is OO?]],Table_LuT_Deelnemers[[#This Row],[Maximale Subsidie Totaal - overheid]],Table_LuT_Deelnemers[[#This Row],[Maximale Subsidie Totaal - HTSM]])</f>
        <v>0</v>
      </c>
      <c r="CU20" s="11">
        <f>SUMIFS(Table_LuT_Deelnemers[Gevraagde Subsidie Totaal],Table_LuT_Deelnemers[Is OO?],TRUE)</f>
        <v>0</v>
      </c>
      <c r="CV20" s="11">
        <f ca="1">SUMIFS(Table_LuT_Begroting_Deelnemers[Maximale Subsidie OO - overheid],Table_LuT_Begroting_Deelnemers[Is OO?],TRUE)</f>
        <v>0</v>
      </c>
      <c r="CW20" s="11">
        <f ca="1">SUMIFS(Table_LuT_Begroting_Deelnemers[Maximale Subsidie OO - HTSM],Table_LuT_Begroting_Deelnemers[Is OO?],TRUE)</f>
        <v>0</v>
      </c>
      <c r="CX20" s="11">
        <f ca="1">SUMIFS(Table_LuT_Begroting_Deelnemers[Maximale Subsidie MKB - HTSM],Table_LuT_Begroting_Deelnemers[Is MKB?],TRUE)</f>
        <v>0</v>
      </c>
      <c r="CY20" s="11">
        <f ca="1">Table_LuT_Deelnemers[[#This Row],[SUM Maximale Subsidie - OO - HTSM]]+Table_LuT_Deelnemers[[#This Row],[SUM Maximale Subsidie - MKB - HTSM]]</f>
        <v>0</v>
      </c>
      <c r="CZ20" s="11">
        <f ca="1">MIN(Table_LuT_Deelnemers[[#This Row],[SUM  Maximale Subsidie - OO - overheid]],Table_LuT_Deelnemers[[#This Row],[SUM Maximale Subsidie - OO+MKB - HTSM]])</f>
        <v>0</v>
      </c>
    </row>
    <row r="21" spans="1:104" ht="15" customHeight="1" x14ac:dyDescent="0.25">
      <c r="A21" s="2" t="s">
        <v>198</v>
      </c>
      <c r="B21" s="2" t="s">
        <v>208</v>
      </c>
      <c r="C21" s="2" t="s">
        <v>218</v>
      </c>
      <c r="D21" s="3" t="str">
        <f>Table_LuT_Deelnemers[[#This Row],[ID Deelnemer]]</f>
        <v>Deelnemer 20</v>
      </c>
      <c r="E21" s="3" t="str" cm="1">
        <f t="array" ref="E21">IF(NOT(Table_LuT_Deelnemers[[#This Row],[DN niet leeg?]]),"",_xlfn.XLOOKUP(Table_LuT_Deelnemers[[#This Row],[ID Deelnemer]],INDEX(Range_Deelnemer_Nrs,,1),INDEX(Range_Deelnemer_Nrs,,2),"",0,1))</f>
        <v/>
      </c>
      <c r="F21" s="3" t="str" cm="1">
        <f t="array" ref="F21">IF(NOT(Table_LuT_Deelnemers[[#This Row],[Type Organisatie niet leeg?]]),"",_xlfn.XLOOKUP(Table_LuT_Deelnemers[[#This Row],[ID Deelnemer]],INDEX(Range_Deelnemer_Nrs,,1),INDEX(Range_Deelnemer_Nrs,,3),"",0,1))</f>
        <v/>
      </c>
      <c r="G21" s="3" t="str" cm="1">
        <f t="array" ref="G21">IF(NOT(Table_LuT_Deelnemers[[#This Row],[Type Organisatie niet leeg?]]),"",_xlfn.XLOOKUP(Table_LuT_Deelnemers[[#This Row],[Type Organisatie]],ValList_Type_Organisatie,Table_Val_List_Type_Org[TO]))</f>
        <v/>
      </c>
      <c r="H21" s="3" t="str" cm="1">
        <f t="array" ref="H21">IF(NOT(Table_LuT_Deelnemers[[#This Row],[KVK niet leeg?]]),"",_xlfn.XLOOKUP(Table_LuT_Deelnemers[[#This Row],[ID Deelnemer]],INDEX(Range_Deelnemer_Nrs,,1),INDEX(Range_Deelnemer_Nrs,,4),"",0,1))</f>
        <v/>
      </c>
      <c r="I21" s="3" t="str" cm="1">
        <f t="array" ref="I21">IF(NOT(Table_LuT_Deelnemers[[#This Row],[DN niet leeg?]]),"",IF(NOT(Table_LuT_Deelnemers[[#This Row],[Is Buitenlandse Organisatie]]),"",_xlfn.XLOOKUP(Table_LuT_Deelnemers[[#This Row],[ID Deelnemer]],INDEX(Range_Deelnemer_Nrs,,1),INDEX(Range_Deelnemer_Nrs,,5),"",0,1)))</f>
        <v/>
      </c>
      <c r="J21" s="3" t="str" cm="1">
        <f t="array" ref="J21">IF(NOT(Table_LuT_Deelnemers[[#This Row],[DN niet leeg?]]),"",_xlfn.XLOOKUP(Table_LuT_Deelnemers[[#This Row],[ID Deelnemer]],INDEX(Range_Deelnemer_Nrs,,1),INDEX(Range_Deelnemer_Nrs,,6),"",0,1)&lt;&gt;"nee")</f>
        <v/>
      </c>
      <c r="K21" s="3" t="str" cm="1">
        <f t="array" ref="K21">IF(NOT(Table_LuT_Deelnemers[[#This Row],[DN niet leeg?]]),"",_xlfn.LET(_xlpm.website,_xlfn.XLOOKUP(Table_LuT_Deelnemers[[#This Row],[ID Deelnemer]],INDEX(Range_Deelnemer_Nrs,,1),INDEX(Range_Deelnemer_Nrs,,7),"",0,1),IF(_xlpm.website=0,"",_xlpm.website)))</f>
        <v/>
      </c>
      <c r="L21" s="19" t="str" cm="1">
        <f t="array" aca="1" ref="L21" ca="1">IF(INDIRECT("'"&amp;Table_LuT_Deelnemers[[#This Row],[Naam Sheet]]&amp;"'!Kostensystematiek")="[Maak een keuze]","",INDIRECT("'"&amp;Table_LuT_Deelnemers[[#This Row],[Naam Sheet]]&amp;"'!Kostensystematiek"))</f>
        <v/>
      </c>
      <c r="M21" s="3" t="b">
        <f>Table_LuT_Deelnemers[[#This Row],[Type Organisatie]]="MKB"</f>
        <v>0</v>
      </c>
      <c r="N21" s="3" t="b">
        <f>Table_LuT_Deelnemers[[#This Row],[Type Organisatie]]="Onderzoeksorganisatie"</f>
        <v>0</v>
      </c>
      <c r="O21" s="3" t="b">
        <f>Table_LuT_Deelnemers[[#This Row],[Type Organisatie]]="Grootbedrijf"</f>
        <v>0</v>
      </c>
      <c r="P21" s="19" t="b">
        <f>Table_LuT_Deelnemers[[#This Row],[Verkorte Referentienaam Deelnemer]]="DN1"</f>
        <v>0</v>
      </c>
      <c r="Q21" s="3" t="b">
        <f t="shared" si="0"/>
        <v>0</v>
      </c>
      <c r="R21" s="3" t="b">
        <f t="shared" si="1"/>
        <v>0</v>
      </c>
      <c r="S21" s="3" t="b" cm="1">
        <f t="array" ref="S21">NOT(ISBLANK(_xlfn.XLOOKUP(Table_LuT_Deelnemers[[#This Row],[ID Deelnemer]],INDEX(Range_Deelnemer_Nrs,,1),INDEX(Range_Deelnemer_Nrs,,2),"",0,1)))</f>
        <v>0</v>
      </c>
      <c r="T21" s="3" t="b" cm="1">
        <f t="array" ref="T21">_xlfn.XLOOKUP(Table_LuT_Deelnemers[[#This Row],[ID Deelnemer]],INDEX(Range_Deelnemer_Nrs,,1),INDEX(Range_Deelnemer_Nrs,,3),"",0,1)&lt;&gt;"[Maak een keuze]"</f>
        <v>0</v>
      </c>
      <c r="U21" s="3" t="b" cm="1">
        <f t="array" ref="U21">NOT(ISBLANK(_xlfn.XLOOKUP(Table_LuT_Deelnemers[[#This Row],[ID Deelnemer]],INDEX(Range_Deelnemer_Nrs,,1),INDEX(Range_Deelnemer_Nrs,,4),"",0,1)))</f>
        <v>0</v>
      </c>
      <c r="V21" s="3" t="b" cm="1">
        <f t="array" ref="V21">NOT(ISBLANK(_xlfn.XLOOKUP(Table_LuT_Deelnemers[[#This Row],[ID Deelnemer]],INDEX(Range_Deelnemer_Nrs,,1),INDEX(Range_Deelnemer_Nrs,,5),"",0,1)))</f>
        <v>0</v>
      </c>
      <c r="W21" s="19" t="b" cm="1">
        <f t="array" aca="1" ref="W21" ca="1">INDIRECT("'"&amp;Table_LuT_Deelnemers[[#This Row],[Naam Sheet]]&amp;"'!Kostensystematiek")&lt;&gt;"[Maak een keuze]"</f>
        <v>0</v>
      </c>
      <c r="X21" s="248" t="b">
        <f>OR(NOT(Table_LuT_Deelnemers[[#This Row],[DN niet leeg?]]),Table_LuT_Deelnemers[[#This Row],[Is OO?]],NOT(Table_LuT_Deelnemers[[#This Row],[Is GB?]]))</f>
        <v>1</v>
      </c>
      <c r="Y21" s="3" t="b">
        <f>OR(Table_LuT_Deelnemers[[#This Row],[Verkorte Referentienaam Deelnemer]]&lt;&gt;"DN1",NOT(Table_LuT_Deelnemers[[#This Row],[Penvoerder niet leeg?]]),AND(Subsidie_instrument&lt;&gt;"[Maak een keuze]",NOT(ISBLANK(Projecttitel)),NOT(ISBLANK(Projectacroniem))))</f>
        <v>1</v>
      </c>
      <c r="Z21" s="3" t="b">
        <f t="shared" si="2"/>
        <v>1</v>
      </c>
      <c r="AA21" s="3" t="b">
        <f t="shared" si="3"/>
        <v>1</v>
      </c>
      <c r="AB21" s="3" t="b">
        <f>OR(Table_LuT_Deelnemers[[#This Row],[Verkorte Referentienaam Deelnemer]]&lt;&gt;"DN1",Table_LuT_Deelnemers[[#This Row],[Penvoerder niet leeg?]],NOT(Table_LuT_Deelnemers[[#This Row],[DN2 niet leeg?]]))</f>
        <v>1</v>
      </c>
      <c r="AC21" s="3" t="b">
        <f>OR(Table_LuT_Deelnemers[[#This Row],[Verkorte Referentienaam Deelnemer]]&lt;&gt;"DN2",NOT(_xlfn.XOR(Table_LuT_Deelnemers[[#This Row],[Penvoerder niet leeg?]],Table_LuT_Deelnemers[[#This Row],[DN2 niet leeg?]])))</f>
        <v>1</v>
      </c>
      <c r="AD21" s="3" t="b">
        <f>OR(Table_LuT_Deelnemers[[#This Row],[Verkorte Referentienaam Deelnemer]]="DN1",NOT(Table_LuT_Deelnemers[[#This Row],[DN niet leeg?]]),AND(S$2:S20))</f>
        <v>1</v>
      </c>
      <c r="AE21" s="3" t="b">
        <f>IF(Table_LuT_Deelnemers[[#This Row],[Verkorte Referentienaam Deelnemer]]="DN1",OR(Table_LuT_Deelnemers[[#This Row],[DN niet leeg?]],NOT(Table_LuT_Deelnemers[[#This Row],[KVK niet leeg?]])),OR(Table_LuT_Deelnemers[[#This Row],[DN niet leeg?]],AND(NOT(Table_LuT_Deelnemers[[#This Row],[Type Organisatie niet leeg?]]),NOT(Table_LuT_Deelnemers[[#This Row],[KVK niet leeg?]]),NOT(Table_LuT_Deelnemers[[#This Row],[Is Buitenlandse Organisatie]]))))</f>
        <v>1</v>
      </c>
      <c r="AF21" s="3" t="b">
        <f>OR(NOT(Table_LuT_Deelnemers[[#This Row],[DN niet leeg?]]),NOT(Table_LuT_Deelnemers[[#This Row],[DN2 niet leeg?]]),OR(Table_LuT_Deelnemers[Is OO?]))</f>
        <v>1</v>
      </c>
      <c r="AG21" s="3" t="b">
        <f>OR(Table_LuT_Deelnemers[[#This Row],[Verkorte Referentienaam Deelnemer]]="DN1",NOT(_xlfn.XOR(Table_LuT_Deelnemers[[#This Row],[DN niet leeg?]],Table_LuT_Deelnemers[[#This Row],[Type Organisatie niet leeg?]])))</f>
        <v>1</v>
      </c>
      <c r="AH21" s="3" t="b">
        <f>OR(Table_LuT_Deelnemers[[#This Row],[Verkorte Referentienaam Deelnemer]]&lt;&gt;"DN1",NOT(Table_LuT_Deelnemers[[#This Row],[Penvoerder niet leeg?]]),NOT(Table_LuT_Deelnemers[[#This Row],[Is Buitenlandse Organisatie]]))</f>
        <v>1</v>
      </c>
      <c r="AI21" s="3" t="b">
        <f>OR(NOT(Table_LuT_Deelnemers[[#This Row],[DN niet leeg?]]),Table_LuT_Deelnemers[[#This Row],[Is Buitenlandse Organisatie]],Table_LuT_Deelnemers[[#This Row],[KVK niet leeg?]])</f>
        <v>1</v>
      </c>
      <c r="AJ21" s="3" t="b">
        <f>OR(NOT(Table_LuT_Deelnemers[[#This Row],[DN niet leeg?]]),Table_LuT_Deelnemers[[#This Row],[Is Buitenlandse Organisatie]],AND(Table_LuT_Deelnemers[[#This Row],[KVK niet leeg?]],LEN(Table_LuT_Deelnemers[[#This Row],[KVK-nummer]])&lt;=8))</f>
        <v>1</v>
      </c>
      <c r="AK21" s="3" t="b">
        <f>OR(NOT(Table_LuT_Deelnemers[[#This Row],[DN niet leeg?]]),NOT(Table_LuT_Deelnemers[[#This Row],[Is Buitenlandse Organisatie]]),NOT(Table_LuT_Deelnemers[[#This Row],[KVK niet leeg?]]))</f>
        <v>1</v>
      </c>
      <c r="AL21" s="3" t="b">
        <f ca="1">OR(NOT(Table_LuT_Deelnemers[[#This Row],[DN niet leeg?]]),Table_LuT_Deelnemers[[#This Row],[Kostensystematiek niet leeg?]])</f>
        <v>1</v>
      </c>
      <c r="AM21" s="3" t="b" cm="1">
        <f t="array" aca="1" ref="AM21" ca="1">INDIRECT("'"&amp;Table_LuT_Deelnemers[[#This Row],[ID Deelnemer]]&amp;"'!Check_Vaste_uurtarief")</f>
        <v>1</v>
      </c>
      <c r="AN21" s="3" t="b" cm="1">
        <f t="array" ref="AN21">OR(NOT(Table_LuT_Deelnemers[[#This Row],[Is Penvoerder?]]),NOT(Table_LuT_Deelnemers[[#This Row],[DN niet leeg?]]),AND(OR(Var_Sub.instr.="MKB",Table_LuT_Deelnemers[[#This Row],[Is OO?]]),OR(Var_Sub.instr.&lt;&gt;"MKB",Table_LuT_Deelnemers[[#This Row],[Is MKB?]])))</f>
        <v>1</v>
      </c>
      <c r="AO21" s="3" t="b" cm="1">
        <f t="array" ref="AO21">OR(NOT(Table_LuT_Deelnemers[[#This Row],[DN niet leeg?]]),Var_Sub.instr.&lt;&gt;"MKB",Table_LuT_Deelnemers[[#This Row],[Is OO?]],Table_LuT_Deelnemers[[#This Row],[Is MKB?]])</f>
        <v>1</v>
      </c>
      <c r="AP21" s="3" t="b" cm="1">
        <f t="array" aca="1" ref="AP21" ca="1">IFERROR(Minimale_Cash_CoF&lt;=SUMIFS(Table_LuT_Deelnemers[Cash Bijdrage],Table_LuT_Deelnemers[Type Organisatie],"&lt;&gt;Onderzoeksorganisatie"),FALSE)</f>
        <v>1</v>
      </c>
      <c r="AQ21" s="3" t="b" cm="1">
        <f t="array" aca="1" ref="AQ21" ca="1">IFERROR(Minimale_Cash_CoF&lt;=SUMIFS(Table_LuT_Deelnemers[Cash Ontvangen],Table_LuT_Deelnemers[Type Organisatie],"Onderzoeksorganisatie"),FALSE)</f>
        <v>1</v>
      </c>
      <c r="AR21" s="3" t="b" cm="1">
        <f t="array" aca="1" ref="AR21" ca="1">AND(((Table_LuT_Deelnemers[Cash Bijdrage])=0) + ((Table_LuT_Deelnemers[Cash Ontvangen])=0))</f>
        <v>1</v>
      </c>
      <c r="AS21" s="3" t="b">
        <f ca="1">IFERROR(ABS(Table_LuT_Deelnemers[[#Totals],[Cash Bijdrage]]-Table_LuT_Deelnemers[[#Totals],[Cash Ontvangen]])&lt;1,FALSE)</f>
        <v>1</v>
      </c>
      <c r="AT21" s="3" t="b">
        <f ca="1">IFERROR(Table_LuT_Deelnemers[[#This Row],[Maximale Subsidie FO - HTSM^overheid]]&gt;=Table_LuT_Deelnemers[[#This Row],[Gevraagde Subsidie FO]],FALSE)</f>
        <v>1</v>
      </c>
      <c r="AU21" s="3" t="b">
        <f ca="1">IFERROR(Table_LuT_Deelnemers[[#This Row],[Maximale Subsidie IO - HTSM^overheid]]&gt;=Table_LuT_Deelnemers[[#This Row],[Gevraagde Subsidie IO]],FALSE)</f>
        <v>1</v>
      </c>
      <c r="AV21" s="3" t="b">
        <f ca="1">IFERROR(Table_LuT_Deelnemers[[#This Row],[Maximale Subsidie EO - HTSM^overheid]]&gt;=Table_LuT_Deelnemers[[#This Row],[Gevraagde Subsidie EO]],FALSE)</f>
        <v>1</v>
      </c>
      <c r="AW21" s="3" t="b" cm="1">
        <f t="array" aca="1" ref="AW21" ca="1">OR(Var_Sub.instr.="PPS-PGT",AND(((Table_LuT_Deelnemers[[#This Row],[Type Organisatie]])&lt;&gt;"Onderzoeksorganisatie") + (IFERROR((Table_LuT_Deelnemers[[#This Row],[Gevraagde Subsidie FO]])/(Table_LuT_Deelnemers[[#This Row],[Kosten FO]])&lt;=0.8,TRUE) * IFERROR((Table_LuT_Deelnemers[[#This Row],[Gevraagde Subsidie IO]])/(Table_LuT_Deelnemers[[#This Row],[Kosten IO]])&lt;=0.8,TRUE) * IFERROR((Table_LuT_Deelnemers[[#This Row],[Gevraagde Subsidie EO]])/(Table_LuT_Deelnemers[[#This Row],[Kosten EO]])&lt;=0.8,TRUE))))</f>
        <v>1</v>
      </c>
      <c r="AX21" s="3" t="b">
        <f ca="1">IFERROR(Table_LuT_Deelnemers[[#Totals],[Maximale Subsidie Totaal - HTSM]]&gt;=Table_LuT_Deelnemers[[#Totals],[Gevraagde Subsidie Totaal]],FALSE)</f>
        <v>1</v>
      </c>
      <c r="AY21" s="3" t="b" cm="1">
        <f t="array" aca="1" ref="AY21" ca="1">OR(NOT(Table_LuT_Deelnemers[[#This Row],[DN niet leeg?]]),Var_Sub.instr.="MKB",Table_LuT_Deelnemers[[#This Row],[Type Organisatie]]="Onderzoeksorganisatie",Table_LuT_Deelnemers[[#This Row],[Gevraagde Subsidie Totaal]]=0)</f>
        <v>1</v>
      </c>
      <c r="AZ21" s="3" t="b" cm="1">
        <f t="array" aca="1" ref="AZ21" ca="1">IF(NOT(Table_LuT_Deelnemers[[#This Row],[Check 580]]),FALSE,AND(((Table_LuT_Deelnemers[Type Organisatie])="Onderzoeksorganisatie")+((Table_LuT_Deelnemers[Maximale Subsidie FO - HTSM])&gt;=(Table_LuT_Deelnemers[Gevraagde Subsidie FO]) * (Table_LuT_Deelnemers[Maximale Subsidie IO - HTSM])&gt;=(Table_LuT_Deelnemers[Gevraagde Subsidie IO]) * (Table_LuT_Deelnemers[Maximale Subsidie EO - HTSM])&gt;=(Table_LuT_Deelnemers[Gevraagde Subsidie EO]))))</f>
        <v>1</v>
      </c>
      <c r="BA21" s="3" t="b" cm="1">
        <f t="array" aca="1" ref="BA21" ca="1">IFERROR(AND(ABS((Table_LuT_Deelnemers[Kosten Totaal])-(Table_LuT_Deelnemers[Financiering Totaal]))&lt;1),FALSE)</f>
        <v>1</v>
      </c>
      <c r="BB21" s="3" t="b">
        <f ca="1">IFERROR(ABS(Table_LuT_Deelnemers[[#Totals],[Financiering Totaal]]-Table_LuT_Deelnemers[[#Totals],[Kosten Totaal]])&lt;1,FALSE)</f>
        <v>1</v>
      </c>
      <c r="BC21" s="3" t="b" cm="1">
        <f t="array" aca="1" ref="BC21" ca="1">OR(Var_Sub.instr.&lt;&gt;"MKB",AND(Table_LuT_Deelnemers[Kosten FO]=0,Table_LuT_Deelnemers[Kosten EO]=0))</f>
        <v>1</v>
      </c>
      <c r="BD21" s="3" t="b" cm="1">
        <f t="array" ref="BD21">IF(Var_Sub.instr.="MKB",AND(Table_LuT_Deelnemers[Verhouding SUM kosten OOs / SUM kosten MKBs is OK?]),TRUE)</f>
        <v>1</v>
      </c>
      <c r="BE21" s="3" t="b" cm="1">
        <f t="array" ref="BE21">IF(Var_Sub.instr.="MKB",AND(Table_LuT_Deelnemers[SUM Maximale Subsidie MKBs &lt;= € 300,000, als MKB-call],Table_LuT_Deelnemers[SUM Maximale Subsidie OOs &lt;= € 150,000, als MKB-call]),TRUE)</f>
        <v>1</v>
      </c>
      <c r="BF21" s="3" t="b" cm="1">
        <f t="array" aca="1" ref="BF21" ca="1">AND(( (Table_LuT_Deelnemers[Naam Organisatie]&lt;&gt;"") + ((Table_LuT_Deelnemers[Cash Bijdrage]=0) * (Table_LuT_Deelnemers[Financiering Totaal]=0)) ))</f>
        <v>1</v>
      </c>
      <c r="BG21" s="3" t="b" cm="1">
        <f t="array" aca="1" ref="BG21" ca="1">IFERROR(AND((Table_LuT_Deelnemers[[Cash Bijdrage]:[Gevraagde Subsidie EO]]="") + (ISNUMBER(Table_LuT_Deelnemers[[Cash Bijdrage]:[Gevraagde Subsidie EO]]) * (Table_LuT_Deelnemers[[Cash Bijdrage]:[Gevraagde Subsidie EO]]&gt;=0) * (MOD(Table_LuT_Deelnemers[[Cash Bijdrage]:[Gevraagde Subsidie EO]],1)=0))),FALSE)</f>
        <v>1</v>
      </c>
      <c r="BH21" s="246" t="b">
        <f t="shared" si="4"/>
        <v>0</v>
      </c>
      <c r="BI21" s="19" t="b">
        <f ca="1">AND(Table_LuT_Deelnemers[[#This Row],[Check 005]:[Check 990]])</f>
        <v>0</v>
      </c>
      <c r="BJ21" s="11">
        <f>SUMIFS(Table_LuT_Deelnemers[Kosten Totaal],Table_LuT_Deelnemers[Is MKB?],TRUE)</f>
        <v>0</v>
      </c>
      <c r="BK21" s="11">
        <f>SUMIFS(Table_LuT_Deelnemers[Kosten Totaal],Table_LuT_Deelnemers[Is OO?],TRUE)</f>
        <v>0</v>
      </c>
      <c r="BL21" s="243" t="b" cm="1">
        <f t="array" ref="BL21">IF(Var_Sub.instr.="MKB",IF(Table_LuT_Deelnemers[[#This Row],[SUM Kosten MKBs]]=0,FALSE,Table_LuT_Deelnemers[[#This Row],[SUM Kosten OOs]]/Table_LuT_Deelnemers[[#This Row],[SUM Kosten MKBs]]&lt;=0.5),TRUE)</f>
        <v>1</v>
      </c>
      <c r="BM21" s="8" cm="1">
        <f t="array" aca="1" ref="BM21" ca="1">INDIRECT("Kst_FO_"&amp;Table_LuT_Deelnemers[[#This Row],[Verkorte Referentienaam Deelnemer]])</f>
        <v>0</v>
      </c>
      <c r="BN21" s="8" cm="1">
        <f t="array" aca="1" ref="BN21" ca="1">INDIRECT("Kst_IO_"&amp;Table_LuT_Deelnemers[[#This Row],[Verkorte Referentienaam Deelnemer]])</f>
        <v>0</v>
      </c>
      <c r="BO21" s="8" cm="1">
        <f t="array" aca="1" ref="BO21" ca="1">INDIRECT("Kst_EO_"&amp;Table_LuT_Deelnemers[[#This Row],[Verkorte Referentienaam Deelnemer]])</f>
        <v>0</v>
      </c>
      <c r="BP21" s="8" cm="1">
        <f t="array" aca="1" ref="BP21" ca="1">INDIRECT("Kst_Tot_"&amp;Table_LuT_Deelnemers[[#This Row],[Verkorte Referentienaam Deelnemer]])</f>
        <v>0</v>
      </c>
      <c r="BQ21" s="330" cm="1">
        <f t="array" aca="1" ref="BQ21" ca="1">INDIRECT("'"&amp;A21&amp;"'!Kosten_Apparatuur")</f>
        <v>0</v>
      </c>
      <c r="BR21" s="8" cm="1">
        <f t="array" aca="1" ref="BR21" ca="1">INDIRECT("Max_Sub_FO_"&amp;Table_LuT_Deelnemers[[#This Row],[Verkorte Referentienaam Deelnemer]])</f>
        <v>0</v>
      </c>
      <c r="BS21" s="8" cm="1">
        <f t="array" aca="1" ref="BS21" ca="1">INDIRECT("Max_Sub_IO_"&amp;Table_LuT_Deelnemers[[#This Row],[Verkorte Referentienaam Deelnemer]])</f>
        <v>0</v>
      </c>
      <c r="BT21" s="8" cm="1">
        <f t="array" aca="1" ref="BT21" ca="1">INDIRECT("Max_Sub_EO_"&amp;Table_LuT_Deelnemers[[#This Row],[Verkorte Referentienaam Deelnemer]])</f>
        <v>0</v>
      </c>
      <c r="BU21" s="328" cm="1">
        <f t="array" aca="1" ref="BU21" ca="1">INDIRECT("Max_Sub_"&amp;Table_LuT_Deelnemers[[#This Row],[Verkorte Referentienaam Deelnemer]])</f>
        <v>0</v>
      </c>
      <c r="BV21" s="190" cm="1">
        <f t="array" aca="1" ref="BV21" ca="1">INDIRECT("Cash_"&amp;Table_LuT_Deelnemers[[#This Row],[Verkorte Referentienaam Deelnemer]])</f>
        <v>0</v>
      </c>
      <c r="BW21" s="8" cm="1">
        <f t="array" aca="1" ref="BW21" ca="1">INDIRECT("Cash_Ontvangen_"&amp;Table_LuT_Deelnemers[[#This Row],[Verkorte Referentienaam Deelnemer]])</f>
        <v>0</v>
      </c>
      <c r="BX21" s="8" cm="1">
        <f t="array" aca="1" ref="BX21" ca="1">INDIRECT("In_kind_"&amp;Table_LuT_Deelnemers[[#This Row],[Verkorte Referentienaam Deelnemer]])</f>
        <v>0</v>
      </c>
      <c r="BY21" s="8" cm="1">
        <f t="array" aca="1" ref="BY21" ca="1">INDIRECT("Overige_Subsidies_"&amp;Table_LuT_Deelnemers[[#This Row],[Verkorte Referentienaam Deelnemer]])</f>
        <v>0</v>
      </c>
      <c r="BZ21" s="190" cm="1">
        <f t="array" aca="1" ref="BZ21" ca="1">INDIRECT("Subsidie_FO_"&amp;Table_LuT_Deelnemers[[#This Row],[Verkorte Referentienaam Deelnemer]])</f>
        <v>0</v>
      </c>
      <c r="CA21" s="190" cm="1">
        <f t="array" aca="1" ref="CA21" ca="1">INDIRECT("Subsidie_IO_"&amp;Table_LuT_Deelnemers[[#This Row],[Verkorte Referentienaam Deelnemer]])</f>
        <v>0</v>
      </c>
      <c r="CB21" s="190" cm="1">
        <f t="array" aca="1" ref="CB21" ca="1">INDIRECT("Subsidie_EO_"&amp;Table_LuT_Deelnemers[[#This Row],[Verkorte Referentienaam Deelnemer]])</f>
        <v>0</v>
      </c>
      <c r="CC21" s="8" cm="1">
        <f t="array" aca="1" ref="CC21" ca="1">INDIRECT("Subsidie_"&amp;Table_LuT_Deelnemers[[#This Row],[Verkorte Referentienaam Deelnemer]])</f>
        <v>0</v>
      </c>
      <c r="CD21" s="254" cm="1">
        <f t="array" aca="1" ref="CD21" ca="1">INDIRECT("Fin_Tot_"&amp;Table_LuT_Deelnemers[[#This Row],[Verkorte Referentienaam Deelnemer]])</f>
        <v>0</v>
      </c>
      <c r="CE21" s="8">
        <f ca="1">_xlfn.LET(_xlpm.Var_Delta,Table_LuT_Deelnemers[[#This Row],[Gevraagde Subsidie FO]]-Table_LuT_Deelnemers[[#This Row],[Maximale Subsidie FO - HTSM^overheid]],IF(_xlpm.Var_Delta&gt;0,_xlpm.Var_Delta,0))</f>
        <v>0</v>
      </c>
      <c r="CF21" s="8">
        <f ca="1">_xlfn.LET(_xlpm.Var_Delta,Table_LuT_Deelnemers[[#This Row],[Gevraagde Subsidie IO]]-Table_LuT_Deelnemers[[#This Row],[Maximale Subsidie IO - HTSM^overheid]],IF(_xlpm.Var_Delta&gt;0,_xlpm.Var_Delta,0))</f>
        <v>0</v>
      </c>
      <c r="CG21" s="8">
        <f ca="1">_xlfn.LET(_xlpm.Var_Delta,Table_LuT_Deelnemers[[#This Row],[Gevraagde Subsidie EO]]-Table_LuT_Deelnemers[[#This Row],[Maximale Subsidie EO - HTSM^overheid]],IF(_xlpm.Var_Delta&gt;0,_xlpm.Var_Delta,0))</f>
        <v>0</v>
      </c>
      <c r="CH21" s="8">
        <f ca="1">_xlfn.LET(_xlpm.Var_Delta,Table_LuT_Deelnemers[[#This Row],[Gevraagde Subsidie Totaal]]-Table_LuT_Deelnemers[[#This Row],[Maximale Subsidie Totaal - HTSM^overheid]],IF(_xlpm.Var_Delta&gt;0,_xlpm.Var_Delta,0))</f>
        <v>0</v>
      </c>
      <c r="CI21" s="11">
        <f>SUMIFS(Table_LuT_Deelnemers[Gevraagde Subsidie Totaal],Table_LuT_Deelnemers[Is MKB?],TRUE)</f>
        <v>0</v>
      </c>
      <c r="CJ21" s="11">
        <f>SUMIFS(Table_LuT_Deelnemers[Gevraagde Subsidie Totaal],Table_LuT_Deelnemers[Is OO?],TRUE)</f>
        <v>0</v>
      </c>
      <c r="CK21" s="11" t="b" cm="1">
        <f t="array" ref="CK21">IF(Var_Sub.instr.="MKB",Table_LuT_Deelnemers[[#This Row],[SUM Gevraagde Subsidie MKBs]]&lt;=Var_MaxSub_MKB_call_MKB,TRUE)</f>
        <v>1</v>
      </c>
      <c r="CL21" s="243" t="b" cm="1">
        <f t="array" ref="CL21">IF(Var_Sub.instr.="MKB",Table_LuT_Deelnemers[[#This Row],[SUM Gevraagde Subsidie OOs]]&lt;=Var_MaxSub_MKB_call_OO,TRUE)</f>
        <v>1</v>
      </c>
      <c r="CM21" s="8">
        <f ca="1">SUMIFS(Table_LuT_Begroting_Deelnemers[Maximale Subsidie - overheid],Table_LuT_Begroting_Deelnemers[Verkorte Referentienaam Deelnemer],Table_LuT_Deelnemers[[#This Row],[Verkorte Referentienaam Deelnemer]],Table_LuT_Begroting_Deelnemers[FO | IO | EO],"FO")</f>
        <v>0</v>
      </c>
      <c r="CN21" s="8">
        <f ca="1">SUMIFS(Table_LuT_Begroting_Deelnemers[Maximale Subsidie - overheid],Table_LuT_Begroting_Deelnemers[Verkorte Referentienaam Deelnemer],Table_LuT_Deelnemers[[#This Row],[Verkorte Referentienaam Deelnemer]],Table_LuT_Begroting_Deelnemers[FO | IO | EO],"IO")</f>
        <v>0</v>
      </c>
      <c r="CO21" s="8">
        <f ca="1">SUMIFS(Table_LuT_Begroting_Deelnemers[Maximale Subsidie - overheid],Table_LuT_Begroting_Deelnemers[Verkorte Referentienaam Deelnemer],Table_LuT_Deelnemers[[#This Row],[Verkorte Referentienaam Deelnemer]],Table_LuT_Begroting_Deelnemers[FO | IO | EO],"EO")</f>
        <v>0</v>
      </c>
      <c r="CP21" s="328">
        <f ca="1">SUMIFS(Table_LuT_Begroting_Deelnemers[Maximale Subsidie - overheid],Table_LuT_Begroting_Deelnemers[Verkorte Referentienaam Deelnemer],Table_LuT_Deelnemers[[#This Row],[Verkorte Referentienaam Deelnemer]])</f>
        <v>0</v>
      </c>
      <c r="CQ21" s="8">
        <f ca="1">IF(Table_LuT_Deelnemers[[#This Row],[Is OO?]],Table_LuT_Deelnemers[[#This Row],[Maximale Subsidie FO - overheid]],Table_LuT_Deelnemers[[#This Row],[Maximale Subsidie FO - HTSM]])</f>
        <v>0</v>
      </c>
      <c r="CR21" s="8">
        <f ca="1">IF(Table_LuT_Deelnemers[[#This Row],[Is OO?]],Table_LuT_Deelnemers[[#This Row],[Maximale Subsidie IO - overheid]],Table_LuT_Deelnemers[[#This Row],[Maximale Subsidie IO - HTSM]])</f>
        <v>0</v>
      </c>
      <c r="CS21" s="8">
        <f ca="1">IF(Table_LuT_Deelnemers[[#This Row],[Is OO?]],Table_LuT_Deelnemers[[#This Row],[Maximale Subsidie EO - overheid]],Table_LuT_Deelnemers[[#This Row],[Maximale Subsidie EO - HTSM]])</f>
        <v>0</v>
      </c>
      <c r="CT21" s="328">
        <f ca="1">IF(Table_LuT_Deelnemers[[#This Row],[Is OO?]],Table_LuT_Deelnemers[[#This Row],[Maximale Subsidie Totaal - overheid]],Table_LuT_Deelnemers[[#This Row],[Maximale Subsidie Totaal - HTSM]])</f>
        <v>0</v>
      </c>
      <c r="CU21" s="11">
        <f>SUMIFS(Table_LuT_Deelnemers[Gevraagde Subsidie Totaal],Table_LuT_Deelnemers[Is OO?],TRUE)</f>
        <v>0</v>
      </c>
      <c r="CV21" s="11">
        <f ca="1">SUMIFS(Table_LuT_Begroting_Deelnemers[Maximale Subsidie OO - overheid],Table_LuT_Begroting_Deelnemers[Is OO?],TRUE)</f>
        <v>0</v>
      </c>
      <c r="CW21" s="11">
        <f ca="1">SUMIFS(Table_LuT_Begroting_Deelnemers[Maximale Subsidie OO - HTSM],Table_LuT_Begroting_Deelnemers[Is OO?],TRUE)</f>
        <v>0</v>
      </c>
      <c r="CX21" s="11">
        <f ca="1">SUMIFS(Table_LuT_Begroting_Deelnemers[Maximale Subsidie MKB - HTSM],Table_LuT_Begroting_Deelnemers[Is MKB?],TRUE)</f>
        <v>0</v>
      </c>
      <c r="CY21" s="11">
        <f ca="1">Table_LuT_Deelnemers[[#This Row],[SUM Maximale Subsidie - OO - HTSM]]+Table_LuT_Deelnemers[[#This Row],[SUM Maximale Subsidie - MKB - HTSM]]</f>
        <v>0</v>
      </c>
      <c r="CZ21" s="11">
        <f ca="1">MIN(Table_LuT_Deelnemers[[#This Row],[SUM  Maximale Subsidie - OO - overheid]],Table_LuT_Deelnemers[[#This Row],[SUM Maximale Subsidie - OO+MKB - HTSM]])</f>
        <v>0</v>
      </c>
    </row>
    <row r="22" spans="1:104" ht="15" customHeight="1" x14ac:dyDescent="0.25">
      <c r="A22" s="2"/>
      <c r="B22" s="2"/>
      <c r="C22" s="2"/>
      <c r="I22" s="297"/>
      <c r="L22" s="298"/>
      <c r="M22" s="299"/>
      <c r="P22" s="19"/>
      <c r="Q22" s="3" t="b">
        <f>AND(Table_LuT_Deelnemers[Penvoerder niet leeg?])</f>
        <v>0</v>
      </c>
      <c r="R22" s="3" t="b">
        <f>AND(Table_LuT_Deelnemers[DN2 niet leeg?])</f>
        <v>0</v>
      </c>
      <c r="S22" s="3" t="b">
        <f>AND(Table_LuT_Deelnemers[DN niet leeg?])</f>
        <v>0</v>
      </c>
      <c r="T22" s="3" t="b">
        <f>AND(Table_LuT_Deelnemers[Type Organisatie niet leeg?])</f>
        <v>0</v>
      </c>
      <c r="U22" s="3" t="b">
        <f>AND(Table_LuT_Deelnemers[KVK niet leeg?])</f>
        <v>0</v>
      </c>
      <c r="V22" s="3" t="b">
        <f>AND(Table_LuT_Deelnemers[Is Buitenlandse Organisatie])</f>
        <v>0</v>
      </c>
      <c r="W22" s="19" t="b">
        <f ca="1">AND(Table_LuT_Deelnemers[Kostensystematiek niet leeg?])</f>
        <v>0</v>
      </c>
      <c r="X22" s="248" t="b">
        <f>AND(Table_LuT_Deelnemers[MKB-Consortium - part?])</f>
        <v>1</v>
      </c>
      <c r="Y22" s="3" t="b">
        <f>AND(Table_LuT_Deelnemers[Check 005])</f>
        <v>1</v>
      </c>
      <c r="Z22" s="3" t="b">
        <f>AND(Table_LuT_Deelnemers[Check 006])</f>
        <v>1</v>
      </c>
      <c r="AA22" s="3" t="b">
        <f>AND(Table_LuT_Deelnemers[Check 007])</f>
        <v>1</v>
      </c>
      <c r="AB22" s="3" t="b">
        <f>AND(Table_LuT_Deelnemers[Check 011])</f>
        <v>1</v>
      </c>
      <c r="AC22" s="3" t="b">
        <f>AND(Table_LuT_Deelnemers[Check 013])</f>
        <v>1</v>
      </c>
      <c r="AD22" s="3" t="b">
        <f>AND(Table_LuT_Deelnemers[Check 015])</f>
        <v>1</v>
      </c>
      <c r="AE22" s="3" t="b">
        <f>AND(Table_LuT_Deelnemers[Check 017])</f>
        <v>1</v>
      </c>
      <c r="AF22" s="3" t="b">
        <f>AND(Table_LuT_Deelnemers[Check 020])</f>
        <v>1</v>
      </c>
      <c r="AG22" s="3" t="b">
        <f>AND(Table_LuT_Deelnemers[Check 111])</f>
        <v>1</v>
      </c>
      <c r="AH22" s="3" t="b">
        <f>AND(Table_LuT_Deelnemers[Check 121])</f>
        <v>1</v>
      </c>
      <c r="AI22" s="3" t="b">
        <f>AND(Table_LuT_Deelnemers[Check 123])</f>
        <v>1</v>
      </c>
      <c r="AJ22" s="3" t="b">
        <f>AND(Table_LuT_Deelnemers[Check 124])</f>
        <v>1</v>
      </c>
      <c r="AK22" s="3" t="b">
        <f>AND(Table_LuT_Deelnemers[Check 125])</f>
        <v>1</v>
      </c>
      <c r="AL22" s="3" t="b">
        <f ca="1">AND(Table_LuT_Deelnemers[Check 150])</f>
        <v>1</v>
      </c>
      <c r="AM22" s="3" t="b">
        <f ca="1">AND(Table_LuT_Deelnemers[Check 160])</f>
        <v>1</v>
      </c>
      <c r="AN22" s="3" t="b">
        <f>AND(Table_LuT_Deelnemers[Check 190])</f>
        <v>1</v>
      </c>
      <c r="AO22" s="3" t="b">
        <f>AND(Table_LuT_Deelnemers[Check 200])</f>
        <v>1</v>
      </c>
      <c r="AP22" s="3" t="b">
        <f ca="1">AND(Table_LuT_Deelnemers[Check 500])</f>
        <v>1</v>
      </c>
      <c r="AQ22" s="3" t="b">
        <f ca="1">AND(Table_LuT_Deelnemers[Check 505])</f>
        <v>1</v>
      </c>
      <c r="AR22" s="3" t="b">
        <f ca="1">AND(Table_LuT_Deelnemers[Check 510])</f>
        <v>1</v>
      </c>
      <c r="AS22" s="3" t="b">
        <f ca="1">AND(Table_LuT_Deelnemers[Check 515])</f>
        <v>1</v>
      </c>
      <c r="AT22" s="3" t="b">
        <f ca="1">AND(Table_LuT_Deelnemers[Check 520])</f>
        <v>1</v>
      </c>
      <c r="AU22" s="3" t="b">
        <f ca="1">AND(Table_LuT_Deelnemers[Check 525])</f>
        <v>1</v>
      </c>
      <c r="AV22" s="3" t="b">
        <f ca="1">AND(Table_LuT_Deelnemers[Check 530])</f>
        <v>1</v>
      </c>
      <c r="AW22" s="3" t="b">
        <f ca="1">AND(Table_LuT_Deelnemers[Check 535])</f>
        <v>1</v>
      </c>
      <c r="AX22" s="3" t="b">
        <f ca="1">AND(Table_LuT_Deelnemers[Check 540])</f>
        <v>1</v>
      </c>
      <c r="AY22" s="3" t="b">
        <f ca="1">AND(Table_LuT_Deelnemers[Check 541])</f>
        <v>1</v>
      </c>
      <c r="AZ22" s="3" t="b">
        <f ca="1">AND(Table_LuT_Deelnemers[Check 545])</f>
        <v>1</v>
      </c>
      <c r="BA22" s="3" t="b">
        <f ca="1">AND(Table_LuT_Deelnemers[Check 550])</f>
        <v>1</v>
      </c>
      <c r="BB22" s="3" t="b">
        <f ca="1">AND(Table_LuT_Deelnemers[Check 555])</f>
        <v>1</v>
      </c>
      <c r="BC22" s="3" t="b">
        <f ca="1">AND(Table_LuT_Deelnemers[Check 560])</f>
        <v>1</v>
      </c>
      <c r="BD22" s="3" t="b">
        <f>AND(Table_LuT_Deelnemers[Check 565])</f>
        <v>1</v>
      </c>
      <c r="BE22" s="3" t="b">
        <f>AND(Table_LuT_Deelnemers[Check 570])</f>
        <v>1</v>
      </c>
      <c r="BF22" s="3" t="b">
        <f ca="1">AND(Table_LuT_Deelnemers[Check 575])</f>
        <v>1</v>
      </c>
      <c r="BG22" s="3" t="b">
        <f ca="1">AND(Table_LuT_Deelnemers[Check 580])</f>
        <v>1</v>
      </c>
      <c r="BH22" s="246" t="b">
        <f>AND(Table_LuT_Deelnemers[Check 990])</f>
        <v>0</v>
      </c>
      <c r="BI22" s="311" t="b">
        <f ca="1">AND(Table_LuT_Deelnemers[Check 999])</f>
        <v>0</v>
      </c>
      <c r="BJ22" s="11"/>
      <c r="BK22" s="11"/>
      <c r="BL22" s="243"/>
      <c r="BM22" s="11">
        <f ca="1">SUBTOTAL(109,INDIRECT("Table_LuT_Deelnemers["&amp;BM$1&amp;"]"))</f>
        <v>0</v>
      </c>
      <c r="BN22" s="11">
        <f t="shared" ref="BN22:CH22" ca="1" si="5">SUBTOTAL(109,INDIRECT("Table_LuT_Deelnemers["&amp;BN$1&amp;"]"))</f>
        <v>0</v>
      </c>
      <c r="BO22" s="11">
        <f t="shared" ca="1" si="5"/>
        <v>0</v>
      </c>
      <c r="BP22" s="11">
        <f t="shared" ca="1" si="5"/>
        <v>0</v>
      </c>
      <c r="BQ22" s="330">
        <f t="shared" ca="1" si="5"/>
        <v>0</v>
      </c>
      <c r="BR22" s="11">
        <f t="shared" ca="1" si="5"/>
        <v>0</v>
      </c>
      <c r="BS22" s="11">
        <f t="shared" ca="1" si="5"/>
        <v>0</v>
      </c>
      <c r="BT22" s="11">
        <f t="shared" ca="1" si="5"/>
        <v>0</v>
      </c>
      <c r="BU22" s="326">
        <f t="shared" ca="1" si="5"/>
        <v>0</v>
      </c>
      <c r="BV22" s="300">
        <f t="shared" ca="1" si="5"/>
        <v>0</v>
      </c>
      <c r="BW22" s="11">
        <f t="shared" ca="1" si="5"/>
        <v>0</v>
      </c>
      <c r="BX22" s="11">
        <f t="shared" ca="1" si="5"/>
        <v>0</v>
      </c>
      <c r="BY22" s="11">
        <f t="shared" ca="1" si="5"/>
        <v>0</v>
      </c>
      <c r="BZ22" s="300">
        <f t="shared" ca="1" si="5"/>
        <v>0</v>
      </c>
      <c r="CA22" s="300">
        <f t="shared" ca="1" si="5"/>
        <v>0</v>
      </c>
      <c r="CB22" s="300">
        <f t="shared" ca="1" si="5"/>
        <v>0</v>
      </c>
      <c r="CC22" s="11">
        <f t="shared" ca="1" si="5"/>
        <v>0</v>
      </c>
      <c r="CD22" s="326">
        <f t="shared" ca="1" si="5"/>
        <v>0</v>
      </c>
      <c r="CE22" s="11">
        <f t="shared" ca="1" si="5"/>
        <v>0</v>
      </c>
      <c r="CF22" s="11">
        <f t="shared" ca="1" si="5"/>
        <v>0</v>
      </c>
      <c r="CG22" s="11">
        <f t="shared" ca="1" si="5"/>
        <v>0</v>
      </c>
      <c r="CH22" s="11">
        <f t="shared" ca="1" si="5"/>
        <v>0</v>
      </c>
      <c r="CI22" s="410">
        <f ca="1">SUBTOTAL(101,INDIRECT("Table_LuT_Deelnemers["&amp;CI$1&amp;"]"))</f>
        <v>0</v>
      </c>
      <c r="CJ22" s="410">
        <f ca="1">SUBTOTAL(101,INDIRECT("Table_LuT_Deelnemers["&amp;CJ$1&amp;"]"))</f>
        <v>0</v>
      </c>
      <c r="CK22" s="410" t="b">
        <f ca="1">AND(INDIRECT("Table_LuT_Deelnemers["&amp;CK$1&amp;"]"))</f>
        <v>1</v>
      </c>
      <c r="CL22" s="411" t="b">
        <f ca="1">AND(INDIRECT("Table_LuT_Deelnemers["&amp;CL$1&amp;"]"))</f>
        <v>1</v>
      </c>
      <c r="CM22" s="11">
        <f t="shared" ref="CM22:CT22" ca="1" si="6">SUBTOTAL(109,INDIRECT("Table_LuT_Deelnemers["&amp;CM$1&amp;"]"))</f>
        <v>0</v>
      </c>
      <c r="CN22" s="11">
        <f t="shared" ca="1" si="6"/>
        <v>0</v>
      </c>
      <c r="CO22" s="11">
        <f t="shared" ca="1" si="6"/>
        <v>0</v>
      </c>
      <c r="CP22" s="326">
        <f t="shared" ca="1" si="6"/>
        <v>0</v>
      </c>
      <c r="CQ22" s="11">
        <f t="shared" ca="1" si="6"/>
        <v>0</v>
      </c>
      <c r="CR22" s="11">
        <f t="shared" ca="1" si="6"/>
        <v>0</v>
      </c>
      <c r="CS22" s="11">
        <f t="shared" ca="1" si="6"/>
        <v>0</v>
      </c>
      <c r="CT22" s="326">
        <f t="shared" ca="1" si="6"/>
        <v>0</v>
      </c>
      <c r="CU22" s="11">
        <f ca="1">SUBTOTAL(101,INDIRECT("Table_LuT_Deelnemers["&amp;CU$1&amp;"]"))</f>
        <v>0</v>
      </c>
      <c r="CV22" s="11">
        <f ca="1">SUBTOTAL(101,INDIRECT("Table_LuT_Deelnemers["&amp;CV$1&amp;"]"))</f>
        <v>0</v>
      </c>
      <c r="CW22" s="412">
        <f t="shared" ref="CW22:CZ22" ca="1" si="7">SUBTOTAL(101,INDIRECT("Table_LuT_Deelnemers["&amp;CW$1&amp;"]"))</f>
        <v>0</v>
      </c>
      <c r="CX22" s="412">
        <f t="shared" ca="1" si="7"/>
        <v>0</v>
      </c>
      <c r="CY22" s="412">
        <f t="shared" ca="1" si="7"/>
        <v>0</v>
      </c>
      <c r="CZ22" s="412">
        <f t="shared" ca="1" si="7"/>
        <v>0</v>
      </c>
    </row>
    <row r="23" spans="1:104" ht="15" customHeight="1" x14ac:dyDescent="0.25">
      <c r="X23" s="241" t="s">
        <v>110</v>
      </c>
      <c r="Y23" s="241" t="s">
        <v>111</v>
      </c>
      <c r="Z23" s="241"/>
    </row>
    <row r="24" spans="1:104" ht="15" customHeight="1" x14ac:dyDescent="0.25">
      <c r="X24" s="316" t="str" cm="1">
        <f t="array" ref="X24:X60">_xlfn._xlws.FILTER(Table_Foutmeldingen[Nr. Foutmelding],TRUE)</f>
        <v>E-005</v>
      </c>
      <c r="Y24" s="3" t="str" cm="1">
        <f t="array" ref="Y24:Y60">_xlfn._xlws.FILTER(Table_Foutmeldingen[Foutmelding - deel 1],TRUE)</f>
        <v>FOUT: Vul eerste een Subsidie-instrument, een Projecttitel en een Projectacroniem in!</v>
      </c>
    </row>
    <row r="25" spans="1:104" ht="15" customHeight="1" x14ac:dyDescent="0.25">
      <c r="X25" s="316" t="str">
        <v>E-006</v>
      </c>
      <c r="Y25" s="3" t="str">
        <v>FOUT: Projecttitel mag niet langer zijn dan 255 karakters!</v>
      </c>
    </row>
    <row r="26" spans="1:104" ht="15" customHeight="1" x14ac:dyDescent="0.25">
      <c r="X26" s="316" t="str">
        <v>E-007</v>
      </c>
      <c r="Y26" s="3" t="str">
        <v>FOUT: Projectacroniem mag niet langer zijn dan 30 karakters!</v>
      </c>
    </row>
    <row r="27" spans="1:104" ht="15" customHeight="1" x14ac:dyDescent="0.25">
      <c r="X27" s="316" t="str">
        <v>E-011</v>
      </c>
      <c r="Y27" s="3" t="str">
        <v>FOUT: Een project dient een Penvoerder (Deelnemer 1) te hebben!</v>
      </c>
    </row>
    <row r="28" spans="1:104" ht="15" customHeight="1" x14ac:dyDescent="0.25">
      <c r="X28" s="316" t="str">
        <v>E-013</v>
      </c>
      <c r="Y28" s="3" t="str">
        <v>FOUT: Een project dient minstens twee deelnemers te hebben!</v>
      </c>
    </row>
    <row r="29" spans="1:104" ht="15" customHeight="1" x14ac:dyDescent="0.25">
      <c r="X29" s="316" t="str">
        <v>E-015</v>
      </c>
      <c r="Y29" s="3" t="str">
        <v>FOUT: Sla geen deelnemers over!</v>
      </c>
    </row>
    <row r="30" spans="1:104" ht="15" customHeight="1" x14ac:dyDescent="0.25">
      <c r="X30" s="316" t="str">
        <v>E-017</v>
      </c>
      <c r="Y30" s="3" t="str">
        <v>FOUT: De organisatienaam ontbreekt!</v>
      </c>
    </row>
    <row r="31" spans="1:104" ht="15" customHeight="1" x14ac:dyDescent="0.25">
      <c r="X31" s="316" t="str">
        <v>E-020</v>
      </c>
      <c r="Y31" s="3" t="str">
        <v>FOUT: Tenminste één deelnemer in het consortium moet een onderzoeksorganisatie zijn!</v>
      </c>
    </row>
    <row r="32" spans="1:104" ht="15" customHeight="1" x14ac:dyDescent="0.25">
      <c r="X32" s="316" t="str">
        <v>E-111</v>
      </c>
      <c r="Y32" s="3" t="str">
        <v>FOUT: Kies een Type Organisatie!</v>
      </c>
    </row>
    <row r="33" spans="24:25" ht="15" customHeight="1" x14ac:dyDescent="0.25">
      <c r="X33" s="316" t="str">
        <v>E-121</v>
      </c>
      <c r="Y33" s="3" t="str">
        <v>FOUT: De penvoerder moet een Nederlandse organisatie zijn!</v>
      </c>
    </row>
    <row r="34" spans="24:25" ht="15" customHeight="1" x14ac:dyDescent="0.25">
      <c r="X34" s="316" t="str">
        <v>E-123</v>
      </c>
      <c r="Y34" s="3" t="str">
        <v>FOUT: Als de deelnemer een Nederlandse organisatie is, is het KVK-nummer verplicht!</v>
      </c>
    </row>
    <row r="35" spans="24:25" ht="15" customHeight="1" x14ac:dyDescent="0.25">
      <c r="X35" s="316" t="str">
        <v>E-124</v>
      </c>
      <c r="Y35" s="3" t="str">
        <v>FOUT: Een Nederlands KVK-nummer is maximaal 8 tekens lang! Vul geen buitenlands CoC-nr. in.</v>
      </c>
    </row>
    <row r="36" spans="24:25" ht="15" customHeight="1" x14ac:dyDescent="0.25">
      <c r="X36" s="316" t="str">
        <v>E-125</v>
      </c>
      <c r="Y36" s="3" t="str">
        <v>FOUT: Een buitenlandse organisatie heeft geen KVK-nummer!</v>
      </c>
    </row>
    <row r="37" spans="24:25" ht="15" customHeight="1" x14ac:dyDescent="0.25">
      <c r="X37" s="316" t="str">
        <v>E-150</v>
      </c>
      <c r="Y37" s="3" t="str">
        <v>FOUT: Kies eerst een Kostensystematiek (voor alle deelnemers)!</v>
      </c>
    </row>
    <row r="38" spans="24:25" ht="15" customHeight="1" x14ac:dyDescent="0.25">
      <c r="X38" s="316" t="str">
        <v>E-160</v>
      </c>
      <c r="Y38" s="3" t="str">
        <v>FOUT: Bij de vaste uurtarief-systematiek (vast uurtarief van 60 euro) moet het uurtarief € 60,-- zijn!</v>
      </c>
    </row>
    <row r="39" spans="24:25" ht="15" customHeight="1" x14ac:dyDescent="0.25">
      <c r="X39" s="316" t="str">
        <v>E-190</v>
      </c>
      <c r="Y39" s="3" t="str">
        <v>FOUT: De Penvoerder (Deelnemer 1) moet altijd een onderzoeksorganisatie zijn, tenzij het een subsidie-instrument voor MKB is!</v>
      </c>
    </row>
    <row r="40" spans="24:25" ht="15" customHeight="1" x14ac:dyDescent="0.25">
      <c r="X40" s="316" t="str">
        <v>E-200</v>
      </c>
      <c r="Y40" s="3" t="str">
        <v>FOUT: Bij een subsidie-intsrument voor MKB moeten de deelnemers MKB of onderzoeksorganisatie zijn!</v>
      </c>
    </row>
    <row r="41" spans="24:25" ht="15" customHeight="1" x14ac:dyDescent="0.25">
      <c r="X41" s="316" t="str">
        <v>E-500</v>
      </c>
      <c r="Y41" s="3" t="str">
        <v>FOUT: Som van Cash Bijdragen Private Partijen moet tenminste de minimale Cash Co-funding zijn!</v>
      </c>
    </row>
    <row r="42" spans="24:25" ht="15" customHeight="1" x14ac:dyDescent="0.25">
      <c r="X42" s="316" t="str">
        <v>E-505</v>
      </c>
      <c r="Y42" s="3" t="str">
        <v>FOUT: Som van Cash Ontvangen door OOs moet tenminste de minimale Cash Co-funding zijn!</v>
      </c>
    </row>
    <row r="43" spans="24:25" ht="15" customHeight="1" x14ac:dyDescent="0.25">
      <c r="X43" s="316" t="str">
        <v>E-510</v>
      </c>
      <c r="Y43" s="3" t="str">
        <v>FOUT: Een organisatie die Cash bijdraagt, kan niet ook Cash ontvangen!</v>
      </c>
    </row>
    <row r="44" spans="24:25" ht="15" customHeight="1" x14ac:dyDescent="0.25">
      <c r="X44" s="316" t="str">
        <v>E-515</v>
      </c>
      <c r="Y44" s="3" t="str">
        <v>FOUT: Som van Cash Bijdrage moet gelijk zijn aan som Cash Ontvangen!</v>
      </c>
    </row>
    <row r="45" spans="24:25" ht="15" customHeight="1" x14ac:dyDescent="0.25">
      <c r="X45" s="316" t="str">
        <v>E-520</v>
      </c>
      <c r="Y45" s="3" t="str">
        <v>FOUT: Gevraagde Subsidie FO van (minstens) een deelnemer overschrijdt de Maximale Subsidie FO!</v>
      </c>
    </row>
    <row r="46" spans="24:25" ht="15" customHeight="1" x14ac:dyDescent="0.25">
      <c r="X46" s="316" t="str">
        <v>E-525</v>
      </c>
      <c r="Y46" s="3" t="str">
        <v>FOUT: Gevraagde Subsidie IO van (minstens) een deelnemer overschrijdt de Maximale Subsidie IO!</v>
      </c>
    </row>
    <row r="47" spans="24:25" ht="15" customHeight="1" x14ac:dyDescent="0.25">
      <c r="X47" s="316" t="str">
        <v>E-530</v>
      </c>
      <c r="Y47" s="3" t="str">
        <v>FOUT: Gevraagde Subsidie EO van (minstens) een deelnemer overschrijdt de Maximale Subsidie EO!</v>
      </c>
    </row>
    <row r="48" spans="24:25" ht="15" customHeight="1" x14ac:dyDescent="0.25">
      <c r="X48" s="316" t="str">
        <v>E-535</v>
      </c>
      <c r="Y48" s="3" t="str">
        <v>FOUT: Een onderzoeksorganisatie mag in geen enkele activiteitencategorie (FO, IO , EO) meer subsidie ontvangen dan 80% van de resp. kosten!</v>
      </c>
    </row>
    <row r="49" spans="24:25" ht="15" customHeight="1" x14ac:dyDescent="0.25">
      <c r="X49" s="316" t="str">
        <v>E-540</v>
      </c>
      <c r="Y49" s="3" t="str">
        <v>FOUT: Gevraagde Subsidie Totaal overschrijdt de Maximale Subsidie Totaal!</v>
      </c>
    </row>
    <row r="50" spans="24:25" ht="15" customHeight="1" x14ac:dyDescent="0.25">
      <c r="X50" s="316" t="str">
        <v>E-541</v>
      </c>
      <c r="Y50" s="3" t="str">
        <v>FOUT: Alleen Onderzoeksorganisaties ontvangen subsidie, tenzij het een subsidie-instrument voor MKB is!</v>
      </c>
    </row>
    <row r="51" spans="24:25" ht="15" customHeight="1" x14ac:dyDescent="0.25">
      <c r="X51" s="316" t="str">
        <v>E-545</v>
      </c>
      <c r="Y51" s="3" t="str">
        <v>FOUT: Gevraagde Subsidie van (minstens) een deelnemer overschrijdt zijn Maximale Subsidie!</v>
      </c>
    </row>
    <row r="52" spans="24:25" ht="15" customHeight="1" x14ac:dyDescent="0.25">
      <c r="X52" s="316" t="str">
        <v>E-550</v>
      </c>
      <c r="Y52" s="3" t="str">
        <v>FOUT: Som van Kosten iedere Deelnemer moet gelijk zijn aan som Financiering iedere Deelnemer!</v>
      </c>
    </row>
    <row r="53" spans="24:25" ht="15" customHeight="1" x14ac:dyDescent="0.25">
      <c r="X53" s="316" t="str">
        <v>E-555</v>
      </c>
      <c r="Y53" s="3" t="str">
        <v>FOUT: Som van Kosten Totaal moet gelijk zijn aan som Financiering Totaal!</v>
      </c>
    </row>
    <row r="54" spans="24:25" ht="15" customHeight="1" x14ac:dyDescent="0.25">
      <c r="X54" s="316" t="str">
        <v>E-560</v>
      </c>
      <c r="Y54" s="3" t="str">
        <v>FOUT: Bij een subsidie-instrument voor MKB zijn kostencategorieën FO en EO niet toegestaan!</v>
      </c>
    </row>
    <row r="55" spans="24:25" ht="15" customHeight="1" x14ac:dyDescent="0.25">
      <c r="X55" s="316" t="str">
        <v>E-565</v>
      </c>
      <c r="Y55" s="3" t="str">
        <v>FOUT: Verhouding kosten OO t.o.v. kosten MKB mag tenhoogste 1/2 zijn!</v>
      </c>
    </row>
    <row r="56" spans="24:25" ht="15" customHeight="1" x14ac:dyDescent="0.25">
      <c r="X56" s="3" t="str">
        <v>E-570</v>
      </c>
      <c r="Y56" s="3" t="str">
        <v>FOUT: Bij een subsidie-instrument voor MKB is de maximale Gevraagde Subsidie voor MKBs tezamen € 300.000 en voor OOs tezamen € 150.000!</v>
      </c>
    </row>
    <row r="57" spans="24:25" ht="15" customHeight="1" x14ac:dyDescent="0.25">
      <c r="X57" s="3" t="str">
        <v>E-575</v>
      </c>
      <c r="Y57" s="3" t="str">
        <v>FOUT: De deelnemer is niet gedefinieerd en er is wel een bedrag opgevoerd!</v>
      </c>
    </row>
    <row r="58" spans="24:25" ht="15" customHeight="1" x14ac:dyDescent="0.25">
      <c r="X58" s="3" t="str">
        <v>E-580</v>
      </c>
      <c r="Y58" s="3" t="str">
        <v>FOUT: Alleen niet-negatieve en gehele bedragen zijn toegestaan!</v>
      </c>
    </row>
    <row r="59" spans="24:25" ht="15" customHeight="1" x14ac:dyDescent="0.25">
      <c r="X59" s="3" t="str">
        <v>E-990</v>
      </c>
      <c r="Y59" s="3" t="str">
        <v>FOUT: Er is nog geen subsidie gevraagd.</v>
      </c>
    </row>
    <row r="60" spans="24:25" ht="15" customHeight="1" x14ac:dyDescent="0.25">
      <c r="X60" s="3" t="str">
        <v>E-999</v>
      </c>
      <c r="Y60" s="3" t="str">
        <v>FOUT: Er zijn fouten in de begroting en/of er zijn fouten of ontbreken gegevens in overige tabs!</v>
      </c>
    </row>
  </sheetData>
  <sheetProtection algorithmName="SHA-512" hashValue="QKnGlX0Pyhb39e4DDwXwjf7GxIIfhW4juil6RuHMr6zafYRgboPJ6HnAUNO+Qf4XJz0TqucpG5vvS1xkxxde5Q==" saltValue="6if6OHw+QiC0RWLixCPvpA==" spinCount="100000" sheet="1" objects="1" scenarios="1" selectLockedCells="1"/>
  <phoneticPr fontId="15" type="noConversion"/>
  <conditionalFormatting sqref="Q2:W22">
    <cfRule type="expression" dxfId="3" priority="11">
      <formula>NOT(Q2)</formula>
    </cfRule>
  </conditionalFormatting>
  <conditionalFormatting sqref="X2:BI22">
    <cfRule type="expression" dxfId="2" priority="5">
      <formula>NOT(X2)</formula>
    </cfRule>
  </conditionalFormatting>
  <conditionalFormatting sqref="BL2:BL22">
    <cfRule type="expression" dxfId="1" priority="4">
      <formula>NOT(BL2)</formula>
    </cfRule>
  </conditionalFormatting>
  <conditionalFormatting sqref="CK2:CL22">
    <cfRule type="expression" dxfId="0" priority="1">
      <formula>NOT(CK2)</formula>
    </cfRule>
  </conditionalFormatting>
  <printOptions gridLines="1"/>
  <pageMargins left="0.74803149606299213" right="0.74803149606299213" top="0.98425196850393704" bottom="0.98425196850393704" header="0.51181102362204722" footer="0.51181102362204722"/>
  <pageSetup paperSize="9" scale="48" orientation="portrait" horizontalDpi="4294967292" verticalDpi="300" r:id="rId1"/>
  <headerFooter alignWithMargins="0">
    <oddFooter>&amp;L&amp;8Erna Olislaegers
&amp;D at &amp;T&amp;C&amp;8&amp;P/&amp;N&amp;R&amp;8File: &amp;F
Sheet: &amp;A</oddFooter>
  </headerFooter>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ABE47-8D53-4E07-A1D2-55635CB97706}">
  <sheetPr codeName="Sheet16">
    <tabColor theme="9"/>
    <pageSetUpPr fitToPage="1"/>
  </sheetPr>
  <dimension ref="A1:BD65"/>
  <sheetViews>
    <sheetView zoomScale="85" zoomScaleNormal="85" workbookViewId="0">
      <pane ySplit="1" topLeftCell="A2" activePane="bottomLeft" state="frozen"/>
      <selection activeCell="A2" sqref="A2"/>
      <selection pane="bottomLeft" activeCell="A2" sqref="A2"/>
    </sheetView>
  </sheetViews>
  <sheetFormatPr defaultRowHeight="15" customHeight="1" x14ac:dyDescent="0.25"/>
  <cols>
    <col min="1" max="1" width="25.28515625" customWidth="1"/>
    <col min="2" max="2" width="14.42578125" customWidth="1"/>
    <col min="3" max="3" width="14.42578125" style="3" customWidth="1"/>
    <col min="4" max="4" width="35.140625" style="3" customWidth="1"/>
    <col min="5" max="7" width="10.7109375" customWidth="1"/>
    <col min="8" max="8" width="13.42578125" style="3" customWidth="1"/>
    <col min="9" max="11" width="12.7109375" customWidth="1"/>
    <col min="12" max="13" width="12.7109375" style="3" customWidth="1"/>
    <col min="14" max="14" width="12.7109375" style="388" customWidth="1"/>
    <col min="15" max="44" width="12.7109375" style="3" customWidth="1"/>
    <col min="45" max="48" width="12.7109375" customWidth="1"/>
  </cols>
  <sheetData>
    <row r="1" spans="1:48" s="4" customFormat="1" ht="90" x14ac:dyDescent="0.25">
      <c r="A1" s="7" t="s">
        <v>47</v>
      </c>
      <c r="B1" s="5" t="s">
        <v>80</v>
      </c>
      <c r="C1" s="6" t="s">
        <v>85</v>
      </c>
      <c r="D1" s="6" t="s">
        <v>135</v>
      </c>
      <c r="E1" s="6" t="s">
        <v>133</v>
      </c>
      <c r="F1" s="6" t="s">
        <v>139</v>
      </c>
      <c r="G1" s="6" t="s">
        <v>140</v>
      </c>
      <c r="H1" s="6" t="s">
        <v>153</v>
      </c>
      <c r="I1" s="6" t="s">
        <v>417</v>
      </c>
      <c r="J1" s="6" t="s">
        <v>51</v>
      </c>
      <c r="K1" s="6" t="s">
        <v>1</v>
      </c>
      <c r="L1" s="6" t="s">
        <v>15</v>
      </c>
      <c r="M1" s="6" t="s">
        <v>415</v>
      </c>
      <c r="N1" s="6" t="s">
        <v>414</v>
      </c>
      <c r="O1" s="386" t="s">
        <v>416</v>
      </c>
      <c r="P1" s="386" t="s">
        <v>427</v>
      </c>
      <c r="Q1" s="9" t="s">
        <v>134</v>
      </c>
      <c r="R1" s="9" t="s">
        <v>459</v>
      </c>
      <c r="S1" s="380" t="s">
        <v>413</v>
      </c>
      <c r="T1" s="380" t="s">
        <v>412</v>
      </c>
      <c r="U1" s="395" t="s">
        <v>419</v>
      </c>
      <c r="V1" s="256" t="s">
        <v>335</v>
      </c>
      <c r="W1" s="256" t="s">
        <v>458</v>
      </c>
      <c r="X1" s="381" t="s">
        <v>425</v>
      </c>
      <c r="Y1" s="381" t="s">
        <v>426</v>
      </c>
      <c r="Z1" s="396" t="s">
        <v>424</v>
      </c>
      <c r="AA1" s="383" t="s">
        <v>407</v>
      </c>
      <c r="AB1" s="383" t="s">
        <v>457</v>
      </c>
      <c r="AC1" s="384" t="s">
        <v>428</v>
      </c>
      <c r="AD1" s="384" t="s">
        <v>410</v>
      </c>
      <c r="AE1" s="397" t="s">
        <v>429</v>
      </c>
      <c r="AF1" s="382" t="s">
        <v>408</v>
      </c>
      <c r="AG1" s="382" t="s">
        <v>456</v>
      </c>
      <c r="AH1" s="385" t="s">
        <v>430</v>
      </c>
      <c r="AI1" s="385" t="s">
        <v>411</v>
      </c>
      <c r="AJ1" s="400" t="s">
        <v>431</v>
      </c>
      <c r="AK1" s="409" t="s">
        <v>432</v>
      </c>
      <c r="AL1" s="409" t="s">
        <v>433</v>
      </c>
      <c r="AM1" s="6" t="s">
        <v>455</v>
      </c>
      <c r="AN1" s="6" t="s">
        <v>150</v>
      </c>
      <c r="AO1" s="6" t="s">
        <v>151</v>
      </c>
      <c r="AP1" s="6" t="s">
        <v>158</v>
      </c>
      <c r="AQ1" s="6" t="s">
        <v>84</v>
      </c>
      <c r="AR1" s="6" t="s">
        <v>54</v>
      </c>
      <c r="AS1" s="6" t="s">
        <v>159</v>
      </c>
      <c r="AT1" s="6" t="s">
        <v>160</v>
      </c>
      <c r="AU1" s="6" t="s">
        <v>161</v>
      </c>
      <c r="AV1" s="6" t="s">
        <v>162</v>
      </c>
    </row>
    <row r="2" spans="1:48" ht="15" customHeight="1" x14ac:dyDescent="0.25">
      <c r="A2" s="2" t="s">
        <v>58</v>
      </c>
      <c r="B2" s="2" t="s">
        <v>81</v>
      </c>
      <c r="C2" s="3" t="str">
        <f>_xlfn.XLOOKUP(Table_LuT_Begroting_Deelnemers[[#This Row],[ID Deelnemer]],Table_LuT_Deelnemers[ID Deelnemer],Table_LuT_Deelnemers[Verkorte Referentienaam Deelnemer],"&lt;Not in LuT&gt;",0,1)</f>
        <v>DN1</v>
      </c>
      <c r="D2" s="3" t="str">
        <f>Table_LuT_Begroting_Deelnemers[[#This Row],[ID Deelnemer]]&amp;" # "&amp;Table_LuT_Begroting_Deelnemers[[#This Row],[FO | IO | EO]]</f>
        <v>Deelnemer 1 - Penvoerder # FO</v>
      </c>
      <c r="E2" s="3" t="b" cm="1">
        <f t="array" aca="1" ref="E2" ca="1">_xlfn.XLOOKUP(Table_LuT_Begroting_Deelnemers[[#This Row],[ID Deelnemer]],Table_LuT_Deelnemers[ID Deelnemer],INDIRECT("Table_LuT_Deelnemers["&amp;E$1&amp;"]"),"&lt;Not in LuT&gt;",0,1)</f>
        <v>0</v>
      </c>
      <c r="F2" s="3" t="b" cm="1">
        <f t="array" aca="1" ref="F2" ca="1">_xlfn.XLOOKUP(Table_LuT_Begroting_Deelnemers[[#This Row],[ID Deelnemer]],Table_LuT_Deelnemers[ID Deelnemer],INDIRECT("Table_LuT_Deelnemers["&amp;F$1&amp;"]"),"&lt;Not in LuT&gt;",0,1)</f>
        <v>0</v>
      </c>
      <c r="G2" s="3" t="b" cm="1">
        <f t="array" aca="1" ref="G2" ca="1">_xlfn.XLOOKUP(Table_LuT_Begroting_Deelnemers[[#This Row],[ID Deelnemer]],Table_LuT_Deelnemers[ID Deelnemer],INDIRECT("Table_LuT_Deelnemers["&amp;G$1&amp;"]"),"&lt;Not in LuT&gt;",0,1)</f>
        <v>1</v>
      </c>
      <c r="H2" s="3" t="b" cm="1">
        <f t="array" ref="H2">Var_MKB_Consortium</f>
        <v>1</v>
      </c>
      <c r="I2" s="3" t="b">
        <f ca="1">Table_LuT_Begroting_Deelnemers[[#This Row],[Is OO?]]</f>
        <v>0</v>
      </c>
      <c r="J2" s="3" t="str" cm="1">
        <f t="array" aca="1" ref="J2" ca="1">_xlfn.XLOOKUP(Table_LuT_Begroting_Deelnemers[[#This Row],[ID Deelnemer]],Table_LuT_Deelnemers[ID Deelnemer],INDIRECT("Table_LuT_Deelnemers["&amp;J$1&amp;"]"),"&lt;Not in LuT&gt;",0,1)</f>
        <v/>
      </c>
      <c r="K2" s="3" t="str" cm="1">
        <f t="array" aca="1" ref="K2" ca="1">_xlfn.XLOOKUP(Table_LuT_Begroting_Deelnemers[[#This Row],[ID Deelnemer]],Table_LuT_Deelnemers[ID Deelnemer],INDIRECT("Table_LuT_Deelnemers["&amp;K$1&amp;"]"),"&lt;Not in LuT&gt;",0,1)</f>
        <v/>
      </c>
      <c r="L2" s="8" cm="1">
        <f t="array" aca="1" ref="L2" ca="1">INDIRECT("'"&amp;$A2&amp;"'!Kosten_"&amp;Table_LuT_Begroting_Deelnemers[[#This Row],[FO | IO | EO]])</f>
        <v>0</v>
      </c>
      <c r="M2" s="8" cm="1">
        <f t="array" aca="1" ref="M2" ca="1">_xlfn.LET(_xlpm.maxsub_aux,INDIRECT("'"&amp;$A2&amp;"'!Max_Subsidie_"&amp;Table_LuT_Begroting_Deelnemers[[#This Row],[FO | IO | EO]]),IF(Var_Sub.instr.="MKB",IF(Table_LuT_Begroting_Deelnemers[[#This Row],[Is MKB?]],MIN(_xlpm.maxsub_aux,Var_MaxSub_MKB_call_MKB),MIN(_xlpm.maxsub_aux,Var_MaxSub_MKB_call_OO)),_xlpm.maxsub_aux))</f>
        <v>0</v>
      </c>
      <c r="N2" s="8">
        <f ca="1">Table_LuT_Begroting_Deelnemers[[#This Row],[Kosten]]-Table_LuT_Begroting_Deelnemers[[#This Row],[Maximale Subsidie - HTSM]]</f>
        <v>0</v>
      </c>
      <c r="O2" s="387" cm="1">
        <f t="array" aca="1" ref="O2"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2" s="394">
        <f ca="1">Table_LuT_Begroting_Deelnemers[[#This Row],[Maximale Subsidie % - wettelijk]]*Table_LuT_Begroting_Deelnemers[[#This Row],[Kosten]]</f>
        <v>0</v>
      </c>
      <c r="Q2"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2" s="8">
        <f ca="1">Table_LuT_Begroting_Deelnemers[[#This Row],[Kosten OO]]-Table_LuT_Begroting_Deelnemers[[#This Row],[Maximale Subsidie OO - HTSM]]</f>
        <v>0</v>
      </c>
      <c r="U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2"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2" s="8">
        <f ca="1">Table_LuT_Begroting_Deelnemers[[#This Row],[Kosten PP]]-Table_LuT_Begroting_Deelnemers[[#This Row],[Maximale Subsidie PP - HTSM]]</f>
        <v>0</v>
      </c>
      <c r="Z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2"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2" s="8">
        <f ca="1">Table_LuT_Begroting_Deelnemers[[#This Row],[Kosten GB]]-Table_LuT_Begroting_Deelnemers[[#This Row],[Maximale Subsidie GB - HTSM]]</f>
        <v>0</v>
      </c>
      <c r="AE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2"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2" s="8">
        <f ca="1">Table_LuT_Begroting_Deelnemers[[#This Row],[Kosten MKB]]-Table_LuT_Begroting_Deelnemers[[#This Row],[Maximale Subsidie MKB - HTSM]]</f>
        <v>0</v>
      </c>
      <c r="AJ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2" s="8">
        <f ca="1">MIN(Table_LuT_Begroting_Deelnemers[[#This Row],[Gegenereerde Subsidie - OO+MKB]],Table_LuT_Begroting_Deelnemers[[#This Row],[Maximale Subsidie OO - overheid]])</f>
        <v>0</v>
      </c>
      <c r="AM2" s="8" cm="1">
        <f t="array" aca="1" ref="AM2"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2" s="8" cm="1">
        <f t="array" aca="1" ref="AN2" ca="1">IF(Table_LuT_Begroting_Deelnemers[[#This Row],[FO | IO | EO]]="FO",INDIRECT("Cash_"&amp;Table_LuT_Begroting_Deelnemers[[#This Row],[Verkorte Referentienaam Deelnemer]]),0)</f>
        <v>0</v>
      </c>
      <c r="AO2" s="8" cm="1">
        <f t="array" aca="1" ref="AO2" ca="1">IF(Table_LuT_Begroting_Deelnemers[[#This Row],[FO | IO | EO]]="FO",INDIRECT("Cash_Ontvangen_"&amp;Table_LuT_Begroting_Deelnemers[[#This Row],[Verkorte Referentienaam Deelnemer]]),0)</f>
        <v>0</v>
      </c>
      <c r="AP2" s="8">
        <f ca="1">IF(Table_LuT_Begroting_Deelnemers[[#This Row],[Is OO?]],Table_LuT_Begroting_Deelnemers[[#This Row],[Cash Ontvangen]],0)</f>
        <v>0</v>
      </c>
      <c r="AQ2" s="8" cm="1">
        <f t="array" aca="1" ref="AQ2" ca="1">IF(Table_LuT_Begroting_Deelnemers[[#This Row],[FO | IO | EO]]="FO",INDIRECT("In_kind_"&amp;Table_LuT_Begroting_Deelnemers[[#This Row],[Verkorte Referentienaam Deelnemer]]),0)</f>
        <v>0</v>
      </c>
      <c r="AR2" s="8" cm="1">
        <f t="array" aca="1" ref="AR2" ca="1">IF(Table_LuT_Begroting_Deelnemers[[#This Row],[FO | IO | EO]]="FO",INDIRECT("Overige_Subsidies_"&amp;Table_LuT_Begroting_Deelnemers[[#This Row],[Verkorte Referentienaam Deelnemer]]),0)</f>
        <v>0</v>
      </c>
      <c r="AS2" s="8" cm="1">
        <f t="array" aca="1" ref="AS2" ca="1">IF(Table_LuT_Begroting_Deelnemers[[#This Row],[FO | IO | EO]]="FO",INDIRECT("Subsidie_FO_"&amp;Table_LuT_Begroting_Deelnemers[[#This Row],[Verkorte Referentienaam Deelnemer]]),0)</f>
        <v>0</v>
      </c>
      <c r="AT2" s="8" cm="1">
        <f t="array" aca="1" ref="AT2" ca="1">IF(Table_LuT_Begroting_Deelnemers[[#This Row],[FO | IO | EO]]="IO",INDIRECT("Subsidie_IO_"&amp;Table_LuT_Begroting_Deelnemers[[#This Row],[Verkorte Referentienaam Deelnemer]]),0)</f>
        <v>0</v>
      </c>
      <c r="AU2" s="8" cm="1">
        <f t="array" aca="1" ref="AU2" ca="1">IF(Table_LuT_Begroting_Deelnemers[[#This Row],[FO | IO | EO]]="EO",INDIRECT("Subsidie_EO_"&amp;Table_LuT_Begroting_Deelnemers[[#This Row],[Verkorte Referentienaam Deelnemer]]),0)</f>
        <v>0</v>
      </c>
      <c r="AV2" s="8">
        <f ca="1">SUM(Table_LuT_Begroting_Deelnemers[[#This Row],[Gevraagde Subsidie FO]:[Gevraagde Subsidie EO]])</f>
        <v>0</v>
      </c>
    </row>
    <row r="3" spans="1:48" ht="15" customHeight="1" x14ac:dyDescent="0.25">
      <c r="A3" s="2" t="s">
        <v>59</v>
      </c>
      <c r="B3" s="2" t="s">
        <v>81</v>
      </c>
      <c r="C3" s="3" t="str">
        <f>_xlfn.XLOOKUP(Table_LuT_Begroting_Deelnemers[[#This Row],[ID Deelnemer]],Table_LuT_Deelnemers[ID Deelnemer],Table_LuT_Deelnemers[Verkorte Referentienaam Deelnemer],"&lt;Not in LuT&gt;",0,1)</f>
        <v>DN2</v>
      </c>
      <c r="D3" s="3" t="str">
        <f>Table_LuT_Begroting_Deelnemers[[#This Row],[ID Deelnemer]]&amp;" # "&amp;Table_LuT_Begroting_Deelnemers[[#This Row],[FO | IO | EO]]</f>
        <v>Deelnemer 2 # FO</v>
      </c>
      <c r="E3" s="3" t="b" cm="1">
        <f t="array" aca="1" ref="E3" ca="1">_xlfn.XLOOKUP(Table_LuT_Begroting_Deelnemers[[#This Row],[ID Deelnemer]],Table_LuT_Deelnemers[ID Deelnemer],INDIRECT("Table_LuT_Deelnemers["&amp;E$1&amp;"]"),"&lt;Not in LuT&gt;",0,1)</f>
        <v>0</v>
      </c>
      <c r="F3" s="3" t="b" cm="1">
        <f t="array" aca="1" ref="F3" ca="1">_xlfn.XLOOKUP(Table_LuT_Begroting_Deelnemers[[#This Row],[ID Deelnemer]],Table_LuT_Deelnemers[ID Deelnemer],INDIRECT("Table_LuT_Deelnemers["&amp;F$1&amp;"]"),"&lt;Not in LuT&gt;",0,1)</f>
        <v>0</v>
      </c>
      <c r="G3" s="3" t="b" cm="1">
        <f t="array" aca="1" ref="G3" ca="1">_xlfn.XLOOKUP(Table_LuT_Begroting_Deelnemers[[#This Row],[ID Deelnemer]],Table_LuT_Deelnemers[ID Deelnemer],INDIRECT("Table_LuT_Deelnemers["&amp;G$1&amp;"]"),"&lt;Not in LuT&gt;",0,1)</f>
        <v>0</v>
      </c>
      <c r="H3" s="3" t="b" cm="1">
        <f t="array" ref="H3">Var_MKB_Consortium</f>
        <v>1</v>
      </c>
      <c r="I3" s="3" t="b">
        <f ca="1">Table_LuT_Begroting_Deelnemers[[#This Row],[Is OO?]]</f>
        <v>0</v>
      </c>
      <c r="J3" s="3" t="str" cm="1">
        <f t="array" aca="1" ref="J3" ca="1">_xlfn.XLOOKUP(Table_LuT_Begroting_Deelnemers[[#This Row],[ID Deelnemer]],Table_LuT_Deelnemers[ID Deelnemer],INDIRECT("Table_LuT_Deelnemers["&amp;J$1&amp;"]"),"&lt;Not in LuT&gt;",0,1)</f>
        <v/>
      </c>
      <c r="K3" s="3" t="str" cm="1">
        <f t="array" aca="1" ref="K3" ca="1">_xlfn.XLOOKUP(Table_LuT_Begroting_Deelnemers[[#This Row],[ID Deelnemer]],Table_LuT_Deelnemers[ID Deelnemer],INDIRECT("Table_LuT_Deelnemers["&amp;K$1&amp;"]"),"&lt;Not in LuT&gt;",0,1)</f>
        <v/>
      </c>
      <c r="L3" s="8" cm="1">
        <f t="array" aca="1" ref="L3" ca="1">INDIRECT("'"&amp;$A3&amp;"'!Kosten_"&amp;Table_LuT_Begroting_Deelnemers[[#This Row],[FO | IO | EO]])</f>
        <v>0</v>
      </c>
      <c r="M3" s="8" cm="1">
        <f t="array" aca="1" ref="M3" ca="1">_xlfn.LET(_xlpm.maxsub_aux,INDIRECT("'"&amp;$A3&amp;"'!Max_Subsidie_"&amp;Table_LuT_Begroting_Deelnemers[[#This Row],[FO | IO | EO]]),IF(Var_Sub.instr.="MKB",IF(Table_LuT_Begroting_Deelnemers[[#This Row],[Is MKB?]],MIN(_xlpm.maxsub_aux,Var_MaxSub_MKB_call_MKB),MIN(_xlpm.maxsub_aux,Var_MaxSub_MKB_call_OO)),_xlpm.maxsub_aux))</f>
        <v>0</v>
      </c>
      <c r="N3" s="8">
        <f ca="1">Table_LuT_Begroting_Deelnemers[[#This Row],[Kosten]]-Table_LuT_Begroting_Deelnemers[[#This Row],[Maximale Subsidie - HTSM]]</f>
        <v>0</v>
      </c>
      <c r="O3" s="387" cm="1">
        <f t="array" aca="1" ref="O3"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3" s="394">
        <f ca="1">Table_LuT_Begroting_Deelnemers[[#This Row],[Maximale Subsidie % - wettelijk]]*Table_LuT_Begroting_Deelnemers[[#This Row],[Kosten]]</f>
        <v>0</v>
      </c>
      <c r="Q3"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3" s="8">
        <f ca="1">Table_LuT_Begroting_Deelnemers[[#This Row],[Kosten OO]]-Table_LuT_Begroting_Deelnemers[[#This Row],[Maximale Subsidie OO - HTSM]]</f>
        <v>0</v>
      </c>
      <c r="U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3"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3" s="8">
        <f ca="1">Table_LuT_Begroting_Deelnemers[[#This Row],[Kosten PP]]-Table_LuT_Begroting_Deelnemers[[#This Row],[Maximale Subsidie PP - HTSM]]</f>
        <v>0</v>
      </c>
      <c r="Z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3"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3" s="8">
        <f ca="1">Table_LuT_Begroting_Deelnemers[[#This Row],[Kosten GB]]-Table_LuT_Begroting_Deelnemers[[#This Row],[Maximale Subsidie GB - HTSM]]</f>
        <v>0</v>
      </c>
      <c r="AE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3"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3" s="8">
        <f ca="1">Table_LuT_Begroting_Deelnemers[[#This Row],[Kosten MKB]]-Table_LuT_Begroting_Deelnemers[[#This Row],[Maximale Subsidie MKB - HTSM]]</f>
        <v>0</v>
      </c>
      <c r="AJ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3" s="8">
        <f ca="1">MIN(Table_LuT_Begroting_Deelnemers[[#This Row],[Gegenereerde Subsidie - OO+MKB]],Table_LuT_Begroting_Deelnemers[[#This Row],[Maximale Subsidie OO - overheid]])</f>
        <v>0</v>
      </c>
      <c r="AM3" s="8" cm="1">
        <f t="array" aca="1" ref="AM3"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3" s="8" cm="1">
        <f t="array" aca="1" ref="AN3" ca="1">IF(Table_LuT_Begroting_Deelnemers[[#This Row],[FO | IO | EO]]="FO",INDIRECT("Cash_"&amp;Table_LuT_Begroting_Deelnemers[[#This Row],[Verkorte Referentienaam Deelnemer]]),0)</f>
        <v>0</v>
      </c>
      <c r="AO3" s="8" cm="1">
        <f t="array" aca="1" ref="AO3" ca="1">IF(Table_LuT_Begroting_Deelnemers[[#This Row],[FO | IO | EO]]="FO",INDIRECT("Cash_Ontvangen_"&amp;Table_LuT_Begroting_Deelnemers[[#This Row],[Verkorte Referentienaam Deelnemer]]),0)</f>
        <v>0</v>
      </c>
      <c r="AP3" s="8">
        <f ca="1">IF(Table_LuT_Begroting_Deelnemers[[#This Row],[Is OO?]],Table_LuT_Begroting_Deelnemers[[#This Row],[Cash Ontvangen]],0)</f>
        <v>0</v>
      </c>
      <c r="AQ3" s="8" cm="1">
        <f t="array" aca="1" ref="AQ3" ca="1">IF(Table_LuT_Begroting_Deelnemers[[#This Row],[FO | IO | EO]]="FO",INDIRECT("In_kind_"&amp;Table_LuT_Begroting_Deelnemers[[#This Row],[Verkorte Referentienaam Deelnemer]]),0)</f>
        <v>0</v>
      </c>
      <c r="AR3" s="8" cm="1">
        <f t="array" aca="1" ref="AR3" ca="1">IF(Table_LuT_Begroting_Deelnemers[[#This Row],[FO | IO | EO]]="FO",INDIRECT("Overige_Subsidies_"&amp;Table_LuT_Begroting_Deelnemers[[#This Row],[Verkorte Referentienaam Deelnemer]]),0)</f>
        <v>0</v>
      </c>
      <c r="AS3" s="8" cm="1">
        <f t="array" aca="1" ref="AS3" ca="1">IF(Table_LuT_Begroting_Deelnemers[[#This Row],[FO | IO | EO]]="FO",INDIRECT("Subsidie_FO_"&amp;Table_LuT_Begroting_Deelnemers[[#This Row],[Verkorte Referentienaam Deelnemer]]),0)</f>
        <v>0</v>
      </c>
      <c r="AT3" s="8" cm="1">
        <f t="array" aca="1" ref="AT3" ca="1">IF(Table_LuT_Begroting_Deelnemers[[#This Row],[FO | IO | EO]]="IO",INDIRECT("Subsidie_IO_"&amp;Table_LuT_Begroting_Deelnemers[[#This Row],[Verkorte Referentienaam Deelnemer]]),0)</f>
        <v>0</v>
      </c>
      <c r="AU3" s="8" cm="1">
        <f t="array" aca="1" ref="AU3" ca="1">IF(Table_LuT_Begroting_Deelnemers[[#This Row],[FO | IO | EO]]="EO",INDIRECT("Subsidie_EO_"&amp;Table_LuT_Begroting_Deelnemers[[#This Row],[Verkorte Referentienaam Deelnemer]]),0)</f>
        <v>0</v>
      </c>
      <c r="AV3" s="8">
        <f ca="1">SUM(Table_LuT_Begroting_Deelnemers[[#This Row],[Gevraagde Subsidie FO]:[Gevraagde Subsidie EO]])</f>
        <v>0</v>
      </c>
    </row>
    <row r="4" spans="1:48" ht="15" customHeight="1" x14ac:dyDescent="0.25">
      <c r="A4" s="2" t="s">
        <v>60</v>
      </c>
      <c r="B4" s="2" t="s">
        <v>81</v>
      </c>
      <c r="C4" s="3" t="str">
        <f>_xlfn.XLOOKUP(Table_LuT_Begroting_Deelnemers[[#This Row],[ID Deelnemer]],Table_LuT_Deelnemers[ID Deelnemer],Table_LuT_Deelnemers[Verkorte Referentienaam Deelnemer],"&lt;Not in LuT&gt;",0,1)</f>
        <v>DN3</v>
      </c>
      <c r="D4" s="3" t="str">
        <f>Table_LuT_Begroting_Deelnemers[[#This Row],[ID Deelnemer]]&amp;" # "&amp;Table_LuT_Begroting_Deelnemers[[#This Row],[FO | IO | EO]]</f>
        <v>Deelnemer 3 # FO</v>
      </c>
      <c r="E4" s="3" t="b" cm="1">
        <f t="array" aca="1" ref="E4" ca="1">_xlfn.XLOOKUP(Table_LuT_Begroting_Deelnemers[[#This Row],[ID Deelnemer]],Table_LuT_Deelnemers[ID Deelnemer],INDIRECT("Table_LuT_Deelnemers["&amp;E$1&amp;"]"),"&lt;Not in LuT&gt;",0,1)</f>
        <v>0</v>
      </c>
      <c r="F4" s="3" t="b" cm="1">
        <f t="array" aca="1" ref="F4" ca="1">_xlfn.XLOOKUP(Table_LuT_Begroting_Deelnemers[[#This Row],[ID Deelnemer]],Table_LuT_Deelnemers[ID Deelnemer],INDIRECT("Table_LuT_Deelnemers["&amp;F$1&amp;"]"),"&lt;Not in LuT&gt;",0,1)</f>
        <v>0</v>
      </c>
      <c r="G4" s="3" t="b" cm="1">
        <f t="array" aca="1" ref="G4" ca="1">_xlfn.XLOOKUP(Table_LuT_Begroting_Deelnemers[[#This Row],[ID Deelnemer]],Table_LuT_Deelnemers[ID Deelnemer],INDIRECT("Table_LuT_Deelnemers["&amp;G$1&amp;"]"),"&lt;Not in LuT&gt;",0,1)</f>
        <v>0</v>
      </c>
      <c r="H4" s="3" t="b" cm="1">
        <f t="array" ref="H4">Var_MKB_Consortium</f>
        <v>1</v>
      </c>
      <c r="I4" s="3" t="b">
        <f ca="1">Table_LuT_Begroting_Deelnemers[[#This Row],[Is OO?]]</f>
        <v>0</v>
      </c>
      <c r="J4" s="3" t="str" cm="1">
        <f t="array" aca="1" ref="J4" ca="1">_xlfn.XLOOKUP(Table_LuT_Begroting_Deelnemers[[#This Row],[ID Deelnemer]],Table_LuT_Deelnemers[ID Deelnemer],INDIRECT("Table_LuT_Deelnemers["&amp;J$1&amp;"]"),"&lt;Not in LuT&gt;",0,1)</f>
        <v/>
      </c>
      <c r="K4" s="3" t="str" cm="1">
        <f t="array" aca="1" ref="K4" ca="1">_xlfn.XLOOKUP(Table_LuT_Begroting_Deelnemers[[#This Row],[ID Deelnemer]],Table_LuT_Deelnemers[ID Deelnemer],INDIRECT("Table_LuT_Deelnemers["&amp;K$1&amp;"]"),"&lt;Not in LuT&gt;",0,1)</f>
        <v/>
      </c>
      <c r="L4" s="8" cm="1">
        <f t="array" aca="1" ref="L4" ca="1">INDIRECT("'"&amp;$A4&amp;"'!Kosten_"&amp;Table_LuT_Begroting_Deelnemers[[#This Row],[FO | IO | EO]])</f>
        <v>0</v>
      </c>
      <c r="M4" s="8" cm="1">
        <f t="array" aca="1" ref="M4" ca="1">_xlfn.LET(_xlpm.maxsub_aux,INDIRECT("'"&amp;$A4&amp;"'!Max_Subsidie_"&amp;Table_LuT_Begroting_Deelnemers[[#This Row],[FO | IO | EO]]),IF(Var_Sub.instr.="MKB",IF(Table_LuT_Begroting_Deelnemers[[#This Row],[Is MKB?]],MIN(_xlpm.maxsub_aux,Var_MaxSub_MKB_call_MKB),MIN(_xlpm.maxsub_aux,Var_MaxSub_MKB_call_OO)),_xlpm.maxsub_aux))</f>
        <v>0</v>
      </c>
      <c r="N4" s="8">
        <f ca="1">Table_LuT_Begroting_Deelnemers[[#This Row],[Kosten]]-Table_LuT_Begroting_Deelnemers[[#This Row],[Maximale Subsidie - HTSM]]</f>
        <v>0</v>
      </c>
      <c r="O4" s="387" cm="1">
        <f t="array" aca="1" ref="O4"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4" s="394">
        <f ca="1">Table_LuT_Begroting_Deelnemers[[#This Row],[Maximale Subsidie % - wettelijk]]*Table_LuT_Begroting_Deelnemers[[#This Row],[Kosten]]</f>
        <v>0</v>
      </c>
      <c r="Q4"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4" s="8">
        <f ca="1">Table_LuT_Begroting_Deelnemers[[#This Row],[Kosten OO]]-Table_LuT_Begroting_Deelnemers[[#This Row],[Maximale Subsidie OO - HTSM]]</f>
        <v>0</v>
      </c>
      <c r="U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4"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4" s="8">
        <f ca="1">Table_LuT_Begroting_Deelnemers[[#This Row],[Kosten PP]]-Table_LuT_Begroting_Deelnemers[[#This Row],[Maximale Subsidie PP - HTSM]]</f>
        <v>0</v>
      </c>
      <c r="Z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4"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4" s="8">
        <f ca="1">Table_LuT_Begroting_Deelnemers[[#This Row],[Kosten GB]]-Table_LuT_Begroting_Deelnemers[[#This Row],[Maximale Subsidie GB - HTSM]]</f>
        <v>0</v>
      </c>
      <c r="AE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4"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4" s="8">
        <f ca="1">Table_LuT_Begroting_Deelnemers[[#This Row],[Kosten MKB]]-Table_LuT_Begroting_Deelnemers[[#This Row],[Maximale Subsidie MKB - HTSM]]</f>
        <v>0</v>
      </c>
      <c r="AJ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4" s="8">
        <f ca="1">MIN(Table_LuT_Begroting_Deelnemers[[#This Row],[Gegenereerde Subsidie - OO+MKB]],Table_LuT_Begroting_Deelnemers[[#This Row],[Maximale Subsidie OO - overheid]])</f>
        <v>0</v>
      </c>
      <c r="AM4" s="8" cm="1">
        <f t="array" aca="1" ref="AM4"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4" s="8" cm="1">
        <f t="array" aca="1" ref="AN4" ca="1">IF(Table_LuT_Begroting_Deelnemers[[#This Row],[FO | IO | EO]]="FO",INDIRECT("Cash_"&amp;Table_LuT_Begroting_Deelnemers[[#This Row],[Verkorte Referentienaam Deelnemer]]),0)</f>
        <v>0</v>
      </c>
      <c r="AO4" s="8" cm="1">
        <f t="array" aca="1" ref="AO4" ca="1">IF(Table_LuT_Begroting_Deelnemers[[#This Row],[FO | IO | EO]]="FO",INDIRECT("Cash_Ontvangen_"&amp;Table_LuT_Begroting_Deelnemers[[#This Row],[Verkorte Referentienaam Deelnemer]]),0)</f>
        <v>0</v>
      </c>
      <c r="AP4" s="8">
        <f ca="1">IF(Table_LuT_Begroting_Deelnemers[[#This Row],[Is OO?]],Table_LuT_Begroting_Deelnemers[[#This Row],[Cash Ontvangen]],0)</f>
        <v>0</v>
      </c>
      <c r="AQ4" s="8" cm="1">
        <f t="array" aca="1" ref="AQ4" ca="1">IF(Table_LuT_Begroting_Deelnemers[[#This Row],[FO | IO | EO]]="FO",INDIRECT("In_kind_"&amp;Table_LuT_Begroting_Deelnemers[[#This Row],[Verkorte Referentienaam Deelnemer]]),0)</f>
        <v>0</v>
      </c>
      <c r="AR4" s="8" cm="1">
        <f t="array" aca="1" ref="AR4" ca="1">IF(Table_LuT_Begroting_Deelnemers[[#This Row],[FO | IO | EO]]="FO",INDIRECT("Overige_Subsidies_"&amp;Table_LuT_Begroting_Deelnemers[[#This Row],[Verkorte Referentienaam Deelnemer]]),0)</f>
        <v>0</v>
      </c>
      <c r="AS4" s="8" cm="1">
        <f t="array" aca="1" ref="AS4" ca="1">IF(Table_LuT_Begroting_Deelnemers[[#This Row],[FO | IO | EO]]="FO",INDIRECT("Subsidie_FO_"&amp;Table_LuT_Begroting_Deelnemers[[#This Row],[Verkorte Referentienaam Deelnemer]]),0)</f>
        <v>0</v>
      </c>
      <c r="AT4" s="8" cm="1">
        <f t="array" aca="1" ref="AT4" ca="1">IF(Table_LuT_Begroting_Deelnemers[[#This Row],[FO | IO | EO]]="IO",INDIRECT("Subsidie_IO_"&amp;Table_LuT_Begroting_Deelnemers[[#This Row],[Verkorte Referentienaam Deelnemer]]),0)</f>
        <v>0</v>
      </c>
      <c r="AU4" s="8" cm="1">
        <f t="array" aca="1" ref="AU4" ca="1">IF(Table_LuT_Begroting_Deelnemers[[#This Row],[FO | IO | EO]]="EO",INDIRECT("Subsidie_EO_"&amp;Table_LuT_Begroting_Deelnemers[[#This Row],[Verkorte Referentienaam Deelnemer]]),0)</f>
        <v>0</v>
      </c>
      <c r="AV4" s="8">
        <f ca="1">SUM(Table_LuT_Begroting_Deelnemers[[#This Row],[Gevraagde Subsidie FO]:[Gevraagde Subsidie EO]])</f>
        <v>0</v>
      </c>
    </row>
    <row r="5" spans="1:48" ht="15" customHeight="1" x14ac:dyDescent="0.25">
      <c r="A5" s="2" t="s">
        <v>61</v>
      </c>
      <c r="B5" s="2" t="s">
        <v>81</v>
      </c>
      <c r="C5" s="3" t="str">
        <f>_xlfn.XLOOKUP(Table_LuT_Begroting_Deelnemers[[#This Row],[ID Deelnemer]],Table_LuT_Deelnemers[ID Deelnemer],Table_LuT_Deelnemers[Verkorte Referentienaam Deelnemer],"&lt;Not in LuT&gt;",0,1)</f>
        <v>DN4</v>
      </c>
      <c r="D5" s="3" t="str">
        <f>Table_LuT_Begroting_Deelnemers[[#This Row],[ID Deelnemer]]&amp;" # "&amp;Table_LuT_Begroting_Deelnemers[[#This Row],[FO | IO | EO]]</f>
        <v>Deelnemer 4 # FO</v>
      </c>
      <c r="E5" s="3" t="b" cm="1">
        <f t="array" aca="1" ref="E5" ca="1">_xlfn.XLOOKUP(Table_LuT_Begroting_Deelnemers[[#This Row],[ID Deelnemer]],Table_LuT_Deelnemers[ID Deelnemer],INDIRECT("Table_LuT_Deelnemers["&amp;E$1&amp;"]"),"&lt;Not in LuT&gt;",0,1)</f>
        <v>0</v>
      </c>
      <c r="F5" s="3" t="b" cm="1">
        <f t="array" aca="1" ref="F5" ca="1">_xlfn.XLOOKUP(Table_LuT_Begroting_Deelnemers[[#This Row],[ID Deelnemer]],Table_LuT_Deelnemers[ID Deelnemer],INDIRECT("Table_LuT_Deelnemers["&amp;F$1&amp;"]"),"&lt;Not in LuT&gt;",0,1)</f>
        <v>0</v>
      </c>
      <c r="G5" s="3" t="b" cm="1">
        <f t="array" aca="1" ref="G5" ca="1">_xlfn.XLOOKUP(Table_LuT_Begroting_Deelnemers[[#This Row],[ID Deelnemer]],Table_LuT_Deelnemers[ID Deelnemer],INDIRECT("Table_LuT_Deelnemers["&amp;G$1&amp;"]"),"&lt;Not in LuT&gt;",0,1)</f>
        <v>0</v>
      </c>
      <c r="H5" s="3" t="b" cm="1">
        <f t="array" ref="H5">Var_MKB_Consortium</f>
        <v>1</v>
      </c>
      <c r="I5" s="3" t="b">
        <f ca="1">Table_LuT_Begroting_Deelnemers[[#This Row],[Is OO?]]</f>
        <v>0</v>
      </c>
      <c r="J5" s="3" t="str" cm="1">
        <f t="array" aca="1" ref="J5" ca="1">_xlfn.XLOOKUP(Table_LuT_Begroting_Deelnemers[[#This Row],[ID Deelnemer]],Table_LuT_Deelnemers[ID Deelnemer],INDIRECT("Table_LuT_Deelnemers["&amp;J$1&amp;"]"),"&lt;Not in LuT&gt;",0,1)</f>
        <v/>
      </c>
      <c r="K5" s="3" t="str" cm="1">
        <f t="array" aca="1" ref="K5" ca="1">_xlfn.XLOOKUP(Table_LuT_Begroting_Deelnemers[[#This Row],[ID Deelnemer]],Table_LuT_Deelnemers[ID Deelnemer],INDIRECT("Table_LuT_Deelnemers["&amp;K$1&amp;"]"),"&lt;Not in LuT&gt;",0,1)</f>
        <v/>
      </c>
      <c r="L5" s="8" cm="1">
        <f t="array" aca="1" ref="L5" ca="1">INDIRECT("'"&amp;$A5&amp;"'!Kosten_"&amp;Table_LuT_Begroting_Deelnemers[[#This Row],[FO | IO | EO]])</f>
        <v>0</v>
      </c>
      <c r="M5" s="8" cm="1">
        <f t="array" aca="1" ref="M5" ca="1">_xlfn.LET(_xlpm.maxsub_aux,INDIRECT("'"&amp;$A5&amp;"'!Max_Subsidie_"&amp;Table_LuT_Begroting_Deelnemers[[#This Row],[FO | IO | EO]]),IF(Var_Sub.instr.="MKB",IF(Table_LuT_Begroting_Deelnemers[[#This Row],[Is MKB?]],MIN(_xlpm.maxsub_aux,Var_MaxSub_MKB_call_MKB),MIN(_xlpm.maxsub_aux,Var_MaxSub_MKB_call_OO)),_xlpm.maxsub_aux))</f>
        <v>0</v>
      </c>
      <c r="N5" s="8">
        <f ca="1">Table_LuT_Begroting_Deelnemers[[#This Row],[Kosten]]-Table_LuT_Begroting_Deelnemers[[#This Row],[Maximale Subsidie - HTSM]]</f>
        <v>0</v>
      </c>
      <c r="O5" s="387" cm="1">
        <f t="array" aca="1" ref="O5"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5" s="394">
        <f ca="1">Table_LuT_Begroting_Deelnemers[[#This Row],[Maximale Subsidie % - wettelijk]]*Table_LuT_Begroting_Deelnemers[[#This Row],[Kosten]]</f>
        <v>0</v>
      </c>
      <c r="Q5"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5" s="8">
        <f ca="1">Table_LuT_Begroting_Deelnemers[[#This Row],[Kosten OO]]-Table_LuT_Begroting_Deelnemers[[#This Row],[Maximale Subsidie OO - HTSM]]</f>
        <v>0</v>
      </c>
      <c r="U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5"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5" s="8">
        <f ca="1">Table_LuT_Begroting_Deelnemers[[#This Row],[Kosten PP]]-Table_LuT_Begroting_Deelnemers[[#This Row],[Maximale Subsidie PP - HTSM]]</f>
        <v>0</v>
      </c>
      <c r="Z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5"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5" s="8">
        <f ca="1">Table_LuT_Begroting_Deelnemers[[#This Row],[Kosten GB]]-Table_LuT_Begroting_Deelnemers[[#This Row],[Maximale Subsidie GB - HTSM]]</f>
        <v>0</v>
      </c>
      <c r="AE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5"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5" s="8">
        <f ca="1">Table_LuT_Begroting_Deelnemers[[#This Row],[Kosten MKB]]-Table_LuT_Begroting_Deelnemers[[#This Row],[Maximale Subsidie MKB - HTSM]]</f>
        <v>0</v>
      </c>
      <c r="AJ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5" s="8">
        <f ca="1">MIN(Table_LuT_Begroting_Deelnemers[[#This Row],[Gegenereerde Subsidie - OO+MKB]],Table_LuT_Begroting_Deelnemers[[#This Row],[Maximale Subsidie OO - overheid]])</f>
        <v>0</v>
      </c>
      <c r="AM5" s="8" cm="1">
        <f t="array" aca="1" ref="AM5"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5" s="8" cm="1">
        <f t="array" aca="1" ref="AN5" ca="1">IF(Table_LuT_Begroting_Deelnemers[[#This Row],[FO | IO | EO]]="FO",INDIRECT("Cash_"&amp;Table_LuT_Begroting_Deelnemers[[#This Row],[Verkorte Referentienaam Deelnemer]]),0)</f>
        <v>0</v>
      </c>
      <c r="AO5" s="8" cm="1">
        <f t="array" aca="1" ref="AO5" ca="1">IF(Table_LuT_Begroting_Deelnemers[[#This Row],[FO | IO | EO]]="FO",INDIRECT("Cash_Ontvangen_"&amp;Table_LuT_Begroting_Deelnemers[[#This Row],[Verkorte Referentienaam Deelnemer]]),0)</f>
        <v>0</v>
      </c>
      <c r="AP5" s="8">
        <f ca="1">IF(Table_LuT_Begroting_Deelnemers[[#This Row],[Is OO?]],Table_LuT_Begroting_Deelnemers[[#This Row],[Cash Ontvangen]],0)</f>
        <v>0</v>
      </c>
      <c r="AQ5" s="8" cm="1">
        <f t="array" aca="1" ref="AQ5" ca="1">IF(Table_LuT_Begroting_Deelnemers[[#This Row],[FO | IO | EO]]="FO",INDIRECT("In_kind_"&amp;Table_LuT_Begroting_Deelnemers[[#This Row],[Verkorte Referentienaam Deelnemer]]),0)</f>
        <v>0</v>
      </c>
      <c r="AR5" s="8" cm="1">
        <f t="array" aca="1" ref="AR5" ca="1">IF(Table_LuT_Begroting_Deelnemers[[#This Row],[FO | IO | EO]]="FO",INDIRECT("Overige_Subsidies_"&amp;Table_LuT_Begroting_Deelnemers[[#This Row],[Verkorte Referentienaam Deelnemer]]),0)</f>
        <v>0</v>
      </c>
      <c r="AS5" s="8" cm="1">
        <f t="array" aca="1" ref="AS5" ca="1">IF(Table_LuT_Begroting_Deelnemers[[#This Row],[FO | IO | EO]]="FO",INDIRECT("Subsidie_FO_"&amp;Table_LuT_Begroting_Deelnemers[[#This Row],[Verkorte Referentienaam Deelnemer]]),0)</f>
        <v>0</v>
      </c>
      <c r="AT5" s="8" cm="1">
        <f t="array" aca="1" ref="AT5" ca="1">IF(Table_LuT_Begroting_Deelnemers[[#This Row],[FO | IO | EO]]="IO",INDIRECT("Subsidie_IO_"&amp;Table_LuT_Begroting_Deelnemers[[#This Row],[Verkorte Referentienaam Deelnemer]]),0)</f>
        <v>0</v>
      </c>
      <c r="AU5" s="8" cm="1">
        <f t="array" aca="1" ref="AU5" ca="1">IF(Table_LuT_Begroting_Deelnemers[[#This Row],[FO | IO | EO]]="EO",INDIRECT("Subsidie_EO_"&amp;Table_LuT_Begroting_Deelnemers[[#This Row],[Verkorte Referentienaam Deelnemer]]),0)</f>
        <v>0</v>
      </c>
      <c r="AV5" s="8">
        <f ca="1">SUM(Table_LuT_Begroting_Deelnemers[[#This Row],[Gevraagde Subsidie FO]:[Gevraagde Subsidie EO]])</f>
        <v>0</v>
      </c>
    </row>
    <row r="6" spans="1:48" ht="15" customHeight="1" x14ac:dyDescent="0.25">
      <c r="A6" s="2" t="s">
        <v>62</v>
      </c>
      <c r="B6" s="2" t="s">
        <v>81</v>
      </c>
      <c r="C6" s="3" t="str">
        <f>_xlfn.XLOOKUP(Table_LuT_Begroting_Deelnemers[[#This Row],[ID Deelnemer]],Table_LuT_Deelnemers[ID Deelnemer],Table_LuT_Deelnemers[Verkorte Referentienaam Deelnemer],"&lt;Not in LuT&gt;",0,1)</f>
        <v>DN5</v>
      </c>
      <c r="D6" s="3" t="str">
        <f>Table_LuT_Begroting_Deelnemers[[#This Row],[ID Deelnemer]]&amp;" # "&amp;Table_LuT_Begroting_Deelnemers[[#This Row],[FO | IO | EO]]</f>
        <v>Deelnemer 5 # FO</v>
      </c>
      <c r="E6" s="3" t="b" cm="1">
        <f t="array" aca="1" ref="E6" ca="1">_xlfn.XLOOKUP(Table_LuT_Begroting_Deelnemers[[#This Row],[ID Deelnemer]],Table_LuT_Deelnemers[ID Deelnemer],INDIRECT("Table_LuT_Deelnemers["&amp;E$1&amp;"]"),"&lt;Not in LuT&gt;",0,1)</f>
        <v>0</v>
      </c>
      <c r="F6" s="3" t="b" cm="1">
        <f t="array" aca="1" ref="F6" ca="1">_xlfn.XLOOKUP(Table_LuT_Begroting_Deelnemers[[#This Row],[ID Deelnemer]],Table_LuT_Deelnemers[ID Deelnemer],INDIRECT("Table_LuT_Deelnemers["&amp;F$1&amp;"]"),"&lt;Not in LuT&gt;",0,1)</f>
        <v>0</v>
      </c>
      <c r="G6" s="3" t="b" cm="1">
        <f t="array" aca="1" ref="G6" ca="1">_xlfn.XLOOKUP(Table_LuT_Begroting_Deelnemers[[#This Row],[ID Deelnemer]],Table_LuT_Deelnemers[ID Deelnemer],INDIRECT("Table_LuT_Deelnemers["&amp;G$1&amp;"]"),"&lt;Not in LuT&gt;",0,1)</f>
        <v>0</v>
      </c>
      <c r="H6" s="3" t="b" cm="1">
        <f t="array" ref="H6">Var_MKB_Consortium</f>
        <v>1</v>
      </c>
      <c r="I6" s="3" t="b">
        <f ca="1">Table_LuT_Begroting_Deelnemers[[#This Row],[Is OO?]]</f>
        <v>0</v>
      </c>
      <c r="J6" s="3" t="str" cm="1">
        <f t="array" aca="1" ref="J6" ca="1">_xlfn.XLOOKUP(Table_LuT_Begroting_Deelnemers[[#This Row],[ID Deelnemer]],Table_LuT_Deelnemers[ID Deelnemer],INDIRECT("Table_LuT_Deelnemers["&amp;J$1&amp;"]"),"&lt;Not in LuT&gt;",0,1)</f>
        <v/>
      </c>
      <c r="K6" s="3" t="str" cm="1">
        <f t="array" aca="1" ref="K6" ca="1">_xlfn.XLOOKUP(Table_LuT_Begroting_Deelnemers[[#This Row],[ID Deelnemer]],Table_LuT_Deelnemers[ID Deelnemer],INDIRECT("Table_LuT_Deelnemers["&amp;K$1&amp;"]"),"&lt;Not in LuT&gt;",0,1)</f>
        <v/>
      </c>
      <c r="L6" s="8" cm="1">
        <f t="array" aca="1" ref="L6" ca="1">INDIRECT("'"&amp;$A6&amp;"'!Kosten_"&amp;Table_LuT_Begroting_Deelnemers[[#This Row],[FO | IO | EO]])</f>
        <v>0</v>
      </c>
      <c r="M6" s="8" cm="1">
        <f t="array" aca="1" ref="M6" ca="1">_xlfn.LET(_xlpm.maxsub_aux,INDIRECT("'"&amp;$A6&amp;"'!Max_Subsidie_"&amp;Table_LuT_Begroting_Deelnemers[[#This Row],[FO | IO | EO]]),IF(Var_Sub.instr.="MKB",IF(Table_LuT_Begroting_Deelnemers[[#This Row],[Is MKB?]],MIN(_xlpm.maxsub_aux,Var_MaxSub_MKB_call_MKB),MIN(_xlpm.maxsub_aux,Var_MaxSub_MKB_call_OO)),_xlpm.maxsub_aux))</f>
        <v>0</v>
      </c>
      <c r="N6" s="8">
        <f ca="1">Table_LuT_Begroting_Deelnemers[[#This Row],[Kosten]]-Table_LuT_Begroting_Deelnemers[[#This Row],[Maximale Subsidie - HTSM]]</f>
        <v>0</v>
      </c>
      <c r="O6" s="387" cm="1">
        <f t="array" aca="1" ref="O6"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6" s="394">
        <f ca="1">Table_LuT_Begroting_Deelnemers[[#This Row],[Maximale Subsidie % - wettelijk]]*Table_LuT_Begroting_Deelnemers[[#This Row],[Kosten]]</f>
        <v>0</v>
      </c>
      <c r="Q6"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6" s="8">
        <f ca="1">Table_LuT_Begroting_Deelnemers[[#This Row],[Kosten OO]]-Table_LuT_Begroting_Deelnemers[[#This Row],[Maximale Subsidie OO - HTSM]]</f>
        <v>0</v>
      </c>
      <c r="U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6"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6" s="8">
        <f ca="1">Table_LuT_Begroting_Deelnemers[[#This Row],[Kosten PP]]-Table_LuT_Begroting_Deelnemers[[#This Row],[Maximale Subsidie PP - HTSM]]</f>
        <v>0</v>
      </c>
      <c r="Z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6"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6" s="8">
        <f ca="1">Table_LuT_Begroting_Deelnemers[[#This Row],[Kosten GB]]-Table_LuT_Begroting_Deelnemers[[#This Row],[Maximale Subsidie GB - HTSM]]</f>
        <v>0</v>
      </c>
      <c r="AE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6"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6" s="8">
        <f ca="1">Table_LuT_Begroting_Deelnemers[[#This Row],[Kosten MKB]]-Table_LuT_Begroting_Deelnemers[[#This Row],[Maximale Subsidie MKB - HTSM]]</f>
        <v>0</v>
      </c>
      <c r="AJ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6" s="8">
        <f ca="1">MIN(Table_LuT_Begroting_Deelnemers[[#This Row],[Gegenereerde Subsidie - OO+MKB]],Table_LuT_Begroting_Deelnemers[[#This Row],[Maximale Subsidie OO - overheid]])</f>
        <v>0</v>
      </c>
      <c r="AM6" s="8" cm="1">
        <f t="array" aca="1" ref="AM6"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6" s="8" cm="1">
        <f t="array" aca="1" ref="AN6" ca="1">IF(Table_LuT_Begroting_Deelnemers[[#This Row],[FO | IO | EO]]="FO",INDIRECT("Cash_"&amp;Table_LuT_Begroting_Deelnemers[[#This Row],[Verkorte Referentienaam Deelnemer]]),0)</f>
        <v>0</v>
      </c>
      <c r="AO6" s="8" cm="1">
        <f t="array" aca="1" ref="AO6" ca="1">IF(Table_LuT_Begroting_Deelnemers[[#This Row],[FO | IO | EO]]="FO",INDIRECT("Cash_Ontvangen_"&amp;Table_LuT_Begroting_Deelnemers[[#This Row],[Verkorte Referentienaam Deelnemer]]),0)</f>
        <v>0</v>
      </c>
      <c r="AP6" s="8">
        <f ca="1">IF(Table_LuT_Begroting_Deelnemers[[#This Row],[Is OO?]],Table_LuT_Begroting_Deelnemers[[#This Row],[Cash Ontvangen]],0)</f>
        <v>0</v>
      </c>
      <c r="AQ6" s="8" cm="1">
        <f t="array" aca="1" ref="AQ6" ca="1">IF(Table_LuT_Begroting_Deelnemers[[#This Row],[FO | IO | EO]]="FO",INDIRECT("In_kind_"&amp;Table_LuT_Begroting_Deelnemers[[#This Row],[Verkorte Referentienaam Deelnemer]]),0)</f>
        <v>0</v>
      </c>
      <c r="AR6" s="8" cm="1">
        <f t="array" aca="1" ref="AR6" ca="1">IF(Table_LuT_Begroting_Deelnemers[[#This Row],[FO | IO | EO]]="FO",INDIRECT("Overige_Subsidies_"&amp;Table_LuT_Begroting_Deelnemers[[#This Row],[Verkorte Referentienaam Deelnemer]]),0)</f>
        <v>0</v>
      </c>
      <c r="AS6" s="8" cm="1">
        <f t="array" aca="1" ref="AS6" ca="1">IF(Table_LuT_Begroting_Deelnemers[[#This Row],[FO | IO | EO]]="FO",INDIRECT("Subsidie_FO_"&amp;Table_LuT_Begroting_Deelnemers[[#This Row],[Verkorte Referentienaam Deelnemer]]),0)</f>
        <v>0</v>
      </c>
      <c r="AT6" s="8" cm="1">
        <f t="array" aca="1" ref="AT6" ca="1">IF(Table_LuT_Begroting_Deelnemers[[#This Row],[FO | IO | EO]]="IO",INDIRECT("Subsidie_IO_"&amp;Table_LuT_Begroting_Deelnemers[[#This Row],[Verkorte Referentienaam Deelnemer]]),0)</f>
        <v>0</v>
      </c>
      <c r="AU6" s="8" cm="1">
        <f t="array" aca="1" ref="AU6" ca="1">IF(Table_LuT_Begroting_Deelnemers[[#This Row],[FO | IO | EO]]="EO",INDIRECT("Subsidie_EO_"&amp;Table_LuT_Begroting_Deelnemers[[#This Row],[Verkorte Referentienaam Deelnemer]]),0)</f>
        <v>0</v>
      </c>
      <c r="AV6" s="8">
        <f ca="1">SUM(Table_LuT_Begroting_Deelnemers[[#This Row],[Gevraagde Subsidie FO]:[Gevraagde Subsidie EO]])</f>
        <v>0</v>
      </c>
    </row>
    <row r="7" spans="1:48" ht="15" customHeight="1" x14ac:dyDescent="0.25">
      <c r="A7" s="2" t="s">
        <v>63</v>
      </c>
      <c r="B7" s="2" t="s">
        <v>81</v>
      </c>
      <c r="C7" s="3" t="str">
        <f>_xlfn.XLOOKUP(Table_LuT_Begroting_Deelnemers[[#This Row],[ID Deelnemer]],Table_LuT_Deelnemers[ID Deelnemer],Table_LuT_Deelnemers[Verkorte Referentienaam Deelnemer],"&lt;Not in LuT&gt;",0,1)</f>
        <v>DN6</v>
      </c>
      <c r="D7" s="3" t="str">
        <f>Table_LuT_Begroting_Deelnemers[[#This Row],[ID Deelnemer]]&amp;" # "&amp;Table_LuT_Begroting_Deelnemers[[#This Row],[FO | IO | EO]]</f>
        <v>Deelnemer 6 # FO</v>
      </c>
      <c r="E7" s="3" t="b" cm="1">
        <f t="array" aca="1" ref="E7" ca="1">_xlfn.XLOOKUP(Table_LuT_Begroting_Deelnemers[[#This Row],[ID Deelnemer]],Table_LuT_Deelnemers[ID Deelnemer],INDIRECT("Table_LuT_Deelnemers["&amp;E$1&amp;"]"),"&lt;Not in LuT&gt;",0,1)</f>
        <v>0</v>
      </c>
      <c r="F7" s="3" t="b" cm="1">
        <f t="array" aca="1" ref="F7" ca="1">_xlfn.XLOOKUP(Table_LuT_Begroting_Deelnemers[[#This Row],[ID Deelnemer]],Table_LuT_Deelnemers[ID Deelnemer],INDIRECT("Table_LuT_Deelnemers["&amp;F$1&amp;"]"),"&lt;Not in LuT&gt;",0,1)</f>
        <v>0</v>
      </c>
      <c r="G7" s="3" t="b" cm="1">
        <f t="array" aca="1" ref="G7" ca="1">_xlfn.XLOOKUP(Table_LuT_Begroting_Deelnemers[[#This Row],[ID Deelnemer]],Table_LuT_Deelnemers[ID Deelnemer],INDIRECT("Table_LuT_Deelnemers["&amp;G$1&amp;"]"),"&lt;Not in LuT&gt;",0,1)</f>
        <v>0</v>
      </c>
      <c r="H7" s="3" t="b" cm="1">
        <f t="array" ref="H7">Var_MKB_Consortium</f>
        <v>1</v>
      </c>
      <c r="I7" s="3" t="b">
        <f ca="1">Table_LuT_Begroting_Deelnemers[[#This Row],[Is OO?]]</f>
        <v>0</v>
      </c>
      <c r="J7" s="3" t="str" cm="1">
        <f t="array" aca="1" ref="J7" ca="1">_xlfn.XLOOKUP(Table_LuT_Begroting_Deelnemers[[#This Row],[ID Deelnemer]],Table_LuT_Deelnemers[ID Deelnemer],INDIRECT("Table_LuT_Deelnemers["&amp;J$1&amp;"]"),"&lt;Not in LuT&gt;",0,1)</f>
        <v/>
      </c>
      <c r="K7" s="3" t="str" cm="1">
        <f t="array" aca="1" ref="K7" ca="1">_xlfn.XLOOKUP(Table_LuT_Begroting_Deelnemers[[#This Row],[ID Deelnemer]],Table_LuT_Deelnemers[ID Deelnemer],INDIRECT("Table_LuT_Deelnemers["&amp;K$1&amp;"]"),"&lt;Not in LuT&gt;",0,1)</f>
        <v/>
      </c>
      <c r="L7" s="8" cm="1">
        <f t="array" aca="1" ref="L7" ca="1">INDIRECT("'"&amp;$A7&amp;"'!Kosten_"&amp;Table_LuT_Begroting_Deelnemers[[#This Row],[FO | IO | EO]])</f>
        <v>0</v>
      </c>
      <c r="M7" s="8" cm="1">
        <f t="array" aca="1" ref="M7" ca="1">_xlfn.LET(_xlpm.maxsub_aux,INDIRECT("'"&amp;$A7&amp;"'!Max_Subsidie_"&amp;Table_LuT_Begroting_Deelnemers[[#This Row],[FO | IO | EO]]),IF(Var_Sub.instr.="MKB",IF(Table_LuT_Begroting_Deelnemers[[#This Row],[Is MKB?]],MIN(_xlpm.maxsub_aux,Var_MaxSub_MKB_call_MKB),MIN(_xlpm.maxsub_aux,Var_MaxSub_MKB_call_OO)),_xlpm.maxsub_aux))</f>
        <v>0</v>
      </c>
      <c r="N7" s="8">
        <f ca="1">Table_LuT_Begroting_Deelnemers[[#This Row],[Kosten]]-Table_LuT_Begroting_Deelnemers[[#This Row],[Maximale Subsidie - HTSM]]</f>
        <v>0</v>
      </c>
      <c r="O7" s="387" cm="1">
        <f t="array" aca="1" ref="O7"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7" s="394">
        <f ca="1">Table_LuT_Begroting_Deelnemers[[#This Row],[Maximale Subsidie % - wettelijk]]*Table_LuT_Begroting_Deelnemers[[#This Row],[Kosten]]</f>
        <v>0</v>
      </c>
      <c r="Q7"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7" s="8">
        <f ca="1">Table_LuT_Begroting_Deelnemers[[#This Row],[Kosten OO]]-Table_LuT_Begroting_Deelnemers[[#This Row],[Maximale Subsidie OO - HTSM]]</f>
        <v>0</v>
      </c>
      <c r="U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7"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7" s="8">
        <f ca="1">Table_LuT_Begroting_Deelnemers[[#This Row],[Kosten PP]]-Table_LuT_Begroting_Deelnemers[[#This Row],[Maximale Subsidie PP - HTSM]]</f>
        <v>0</v>
      </c>
      <c r="Z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7"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7" s="8">
        <f ca="1">Table_LuT_Begroting_Deelnemers[[#This Row],[Kosten GB]]-Table_LuT_Begroting_Deelnemers[[#This Row],[Maximale Subsidie GB - HTSM]]</f>
        <v>0</v>
      </c>
      <c r="AE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7"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7" s="8">
        <f ca="1">Table_LuT_Begroting_Deelnemers[[#This Row],[Kosten MKB]]-Table_LuT_Begroting_Deelnemers[[#This Row],[Maximale Subsidie MKB - HTSM]]</f>
        <v>0</v>
      </c>
      <c r="AJ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7" s="8">
        <f ca="1">MIN(Table_LuT_Begroting_Deelnemers[[#This Row],[Gegenereerde Subsidie - OO+MKB]],Table_LuT_Begroting_Deelnemers[[#This Row],[Maximale Subsidie OO - overheid]])</f>
        <v>0</v>
      </c>
      <c r="AM7" s="8" cm="1">
        <f t="array" aca="1" ref="AM7"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7" s="8" cm="1">
        <f t="array" aca="1" ref="AN7" ca="1">IF(Table_LuT_Begroting_Deelnemers[[#This Row],[FO | IO | EO]]="FO",INDIRECT("Cash_"&amp;Table_LuT_Begroting_Deelnemers[[#This Row],[Verkorte Referentienaam Deelnemer]]),0)</f>
        <v>0</v>
      </c>
      <c r="AO7" s="8" cm="1">
        <f t="array" aca="1" ref="AO7" ca="1">IF(Table_LuT_Begroting_Deelnemers[[#This Row],[FO | IO | EO]]="FO",INDIRECT("Cash_Ontvangen_"&amp;Table_LuT_Begroting_Deelnemers[[#This Row],[Verkorte Referentienaam Deelnemer]]),0)</f>
        <v>0</v>
      </c>
      <c r="AP7" s="8">
        <f ca="1">IF(Table_LuT_Begroting_Deelnemers[[#This Row],[Is OO?]],Table_LuT_Begroting_Deelnemers[[#This Row],[Cash Ontvangen]],0)</f>
        <v>0</v>
      </c>
      <c r="AQ7" s="8" cm="1">
        <f t="array" aca="1" ref="AQ7" ca="1">IF(Table_LuT_Begroting_Deelnemers[[#This Row],[FO | IO | EO]]="FO",INDIRECT("In_kind_"&amp;Table_LuT_Begroting_Deelnemers[[#This Row],[Verkorte Referentienaam Deelnemer]]),0)</f>
        <v>0</v>
      </c>
      <c r="AR7" s="8" cm="1">
        <f t="array" aca="1" ref="AR7" ca="1">IF(Table_LuT_Begroting_Deelnemers[[#This Row],[FO | IO | EO]]="FO",INDIRECT("Overige_Subsidies_"&amp;Table_LuT_Begroting_Deelnemers[[#This Row],[Verkorte Referentienaam Deelnemer]]),0)</f>
        <v>0</v>
      </c>
      <c r="AS7" s="8" cm="1">
        <f t="array" aca="1" ref="AS7" ca="1">IF(Table_LuT_Begroting_Deelnemers[[#This Row],[FO | IO | EO]]="FO",INDIRECT("Subsidie_FO_"&amp;Table_LuT_Begroting_Deelnemers[[#This Row],[Verkorte Referentienaam Deelnemer]]),0)</f>
        <v>0</v>
      </c>
      <c r="AT7" s="8" cm="1">
        <f t="array" aca="1" ref="AT7" ca="1">IF(Table_LuT_Begroting_Deelnemers[[#This Row],[FO | IO | EO]]="IO",INDIRECT("Subsidie_IO_"&amp;Table_LuT_Begroting_Deelnemers[[#This Row],[Verkorte Referentienaam Deelnemer]]),0)</f>
        <v>0</v>
      </c>
      <c r="AU7" s="8" cm="1">
        <f t="array" aca="1" ref="AU7" ca="1">IF(Table_LuT_Begroting_Deelnemers[[#This Row],[FO | IO | EO]]="EO",INDIRECT("Subsidie_EO_"&amp;Table_LuT_Begroting_Deelnemers[[#This Row],[Verkorte Referentienaam Deelnemer]]),0)</f>
        <v>0</v>
      </c>
      <c r="AV7" s="8">
        <f ca="1">SUM(Table_LuT_Begroting_Deelnemers[[#This Row],[Gevraagde Subsidie FO]:[Gevraagde Subsidie EO]])</f>
        <v>0</v>
      </c>
    </row>
    <row r="8" spans="1:48" ht="15" customHeight="1" x14ac:dyDescent="0.25">
      <c r="A8" s="2" t="s">
        <v>64</v>
      </c>
      <c r="B8" s="2" t="s">
        <v>81</v>
      </c>
      <c r="C8" s="3" t="str">
        <f>_xlfn.XLOOKUP(Table_LuT_Begroting_Deelnemers[[#This Row],[ID Deelnemer]],Table_LuT_Deelnemers[ID Deelnemer],Table_LuT_Deelnemers[Verkorte Referentienaam Deelnemer],"&lt;Not in LuT&gt;",0,1)</f>
        <v>DN7</v>
      </c>
      <c r="D8" s="3" t="str">
        <f>Table_LuT_Begroting_Deelnemers[[#This Row],[ID Deelnemer]]&amp;" # "&amp;Table_LuT_Begroting_Deelnemers[[#This Row],[FO | IO | EO]]</f>
        <v>Deelnemer 7 # FO</v>
      </c>
      <c r="E8" s="3" t="b" cm="1">
        <f t="array" aca="1" ref="E8" ca="1">_xlfn.XLOOKUP(Table_LuT_Begroting_Deelnemers[[#This Row],[ID Deelnemer]],Table_LuT_Deelnemers[ID Deelnemer],INDIRECT("Table_LuT_Deelnemers["&amp;E$1&amp;"]"),"&lt;Not in LuT&gt;",0,1)</f>
        <v>0</v>
      </c>
      <c r="F8" s="3" t="b" cm="1">
        <f t="array" aca="1" ref="F8" ca="1">_xlfn.XLOOKUP(Table_LuT_Begroting_Deelnemers[[#This Row],[ID Deelnemer]],Table_LuT_Deelnemers[ID Deelnemer],INDIRECT("Table_LuT_Deelnemers["&amp;F$1&amp;"]"),"&lt;Not in LuT&gt;",0,1)</f>
        <v>0</v>
      </c>
      <c r="G8" s="3" t="b" cm="1">
        <f t="array" aca="1" ref="G8" ca="1">_xlfn.XLOOKUP(Table_LuT_Begroting_Deelnemers[[#This Row],[ID Deelnemer]],Table_LuT_Deelnemers[ID Deelnemer],INDIRECT("Table_LuT_Deelnemers["&amp;G$1&amp;"]"),"&lt;Not in LuT&gt;",0,1)</f>
        <v>0</v>
      </c>
      <c r="H8" s="3" t="b" cm="1">
        <f t="array" ref="H8">Var_MKB_Consortium</f>
        <v>1</v>
      </c>
      <c r="I8" s="3" t="b">
        <f ca="1">Table_LuT_Begroting_Deelnemers[[#This Row],[Is OO?]]</f>
        <v>0</v>
      </c>
      <c r="J8" s="3" t="str" cm="1">
        <f t="array" aca="1" ref="J8" ca="1">_xlfn.XLOOKUP(Table_LuT_Begroting_Deelnemers[[#This Row],[ID Deelnemer]],Table_LuT_Deelnemers[ID Deelnemer],INDIRECT("Table_LuT_Deelnemers["&amp;J$1&amp;"]"),"&lt;Not in LuT&gt;",0,1)</f>
        <v/>
      </c>
      <c r="K8" s="3" t="str" cm="1">
        <f t="array" aca="1" ref="K8" ca="1">_xlfn.XLOOKUP(Table_LuT_Begroting_Deelnemers[[#This Row],[ID Deelnemer]],Table_LuT_Deelnemers[ID Deelnemer],INDIRECT("Table_LuT_Deelnemers["&amp;K$1&amp;"]"),"&lt;Not in LuT&gt;",0,1)</f>
        <v/>
      </c>
      <c r="L8" s="8" cm="1">
        <f t="array" aca="1" ref="L8" ca="1">INDIRECT("'"&amp;$A8&amp;"'!Kosten_"&amp;Table_LuT_Begroting_Deelnemers[[#This Row],[FO | IO | EO]])</f>
        <v>0</v>
      </c>
      <c r="M8" s="8" cm="1">
        <f t="array" aca="1" ref="M8" ca="1">_xlfn.LET(_xlpm.maxsub_aux,INDIRECT("'"&amp;$A8&amp;"'!Max_Subsidie_"&amp;Table_LuT_Begroting_Deelnemers[[#This Row],[FO | IO | EO]]),IF(Var_Sub.instr.="MKB",IF(Table_LuT_Begroting_Deelnemers[[#This Row],[Is MKB?]],MIN(_xlpm.maxsub_aux,Var_MaxSub_MKB_call_MKB),MIN(_xlpm.maxsub_aux,Var_MaxSub_MKB_call_OO)),_xlpm.maxsub_aux))</f>
        <v>0</v>
      </c>
      <c r="N8" s="8">
        <f ca="1">Table_LuT_Begroting_Deelnemers[[#This Row],[Kosten]]-Table_LuT_Begroting_Deelnemers[[#This Row],[Maximale Subsidie - HTSM]]</f>
        <v>0</v>
      </c>
      <c r="O8" s="387" cm="1">
        <f t="array" aca="1" ref="O8"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8" s="394">
        <f ca="1">Table_LuT_Begroting_Deelnemers[[#This Row],[Maximale Subsidie % - wettelijk]]*Table_LuT_Begroting_Deelnemers[[#This Row],[Kosten]]</f>
        <v>0</v>
      </c>
      <c r="Q8"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8" s="8">
        <f ca="1">Table_LuT_Begroting_Deelnemers[[#This Row],[Kosten OO]]-Table_LuT_Begroting_Deelnemers[[#This Row],[Maximale Subsidie OO - HTSM]]</f>
        <v>0</v>
      </c>
      <c r="U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8"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8" s="8">
        <f ca="1">Table_LuT_Begroting_Deelnemers[[#This Row],[Kosten PP]]-Table_LuT_Begroting_Deelnemers[[#This Row],[Maximale Subsidie PP - HTSM]]</f>
        <v>0</v>
      </c>
      <c r="Z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8"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8" s="8">
        <f ca="1">Table_LuT_Begroting_Deelnemers[[#This Row],[Kosten GB]]-Table_LuT_Begroting_Deelnemers[[#This Row],[Maximale Subsidie GB - HTSM]]</f>
        <v>0</v>
      </c>
      <c r="AE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8"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8" s="8">
        <f ca="1">Table_LuT_Begroting_Deelnemers[[#This Row],[Kosten MKB]]-Table_LuT_Begroting_Deelnemers[[#This Row],[Maximale Subsidie MKB - HTSM]]</f>
        <v>0</v>
      </c>
      <c r="AJ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8" s="8">
        <f ca="1">MIN(Table_LuT_Begroting_Deelnemers[[#This Row],[Gegenereerde Subsidie - OO+MKB]],Table_LuT_Begroting_Deelnemers[[#This Row],[Maximale Subsidie OO - overheid]])</f>
        <v>0</v>
      </c>
      <c r="AM8" s="8" cm="1">
        <f t="array" aca="1" ref="AM8"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8" s="8" cm="1">
        <f t="array" aca="1" ref="AN8" ca="1">IF(Table_LuT_Begroting_Deelnemers[[#This Row],[FO | IO | EO]]="FO",INDIRECT("Cash_"&amp;Table_LuT_Begroting_Deelnemers[[#This Row],[Verkorte Referentienaam Deelnemer]]),0)</f>
        <v>0</v>
      </c>
      <c r="AO8" s="8" cm="1">
        <f t="array" aca="1" ref="AO8" ca="1">IF(Table_LuT_Begroting_Deelnemers[[#This Row],[FO | IO | EO]]="FO",INDIRECT("Cash_Ontvangen_"&amp;Table_LuT_Begroting_Deelnemers[[#This Row],[Verkorte Referentienaam Deelnemer]]),0)</f>
        <v>0</v>
      </c>
      <c r="AP8" s="8">
        <f ca="1">IF(Table_LuT_Begroting_Deelnemers[[#This Row],[Is OO?]],Table_LuT_Begroting_Deelnemers[[#This Row],[Cash Ontvangen]],0)</f>
        <v>0</v>
      </c>
      <c r="AQ8" s="8" cm="1">
        <f t="array" aca="1" ref="AQ8" ca="1">IF(Table_LuT_Begroting_Deelnemers[[#This Row],[FO | IO | EO]]="FO",INDIRECT("In_kind_"&amp;Table_LuT_Begroting_Deelnemers[[#This Row],[Verkorte Referentienaam Deelnemer]]),0)</f>
        <v>0</v>
      </c>
      <c r="AR8" s="8" cm="1">
        <f t="array" aca="1" ref="AR8" ca="1">IF(Table_LuT_Begroting_Deelnemers[[#This Row],[FO | IO | EO]]="FO",INDIRECT("Overige_Subsidies_"&amp;Table_LuT_Begroting_Deelnemers[[#This Row],[Verkorte Referentienaam Deelnemer]]),0)</f>
        <v>0</v>
      </c>
      <c r="AS8" s="8" cm="1">
        <f t="array" aca="1" ref="AS8" ca="1">IF(Table_LuT_Begroting_Deelnemers[[#This Row],[FO | IO | EO]]="FO",INDIRECT("Subsidie_FO_"&amp;Table_LuT_Begroting_Deelnemers[[#This Row],[Verkorte Referentienaam Deelnemer]]),0)</f>
        <v>0</v>
      </c>
      <c r="AT8" s="8" cm="1">
        <f t="array" aca="1" ref="AT8" ca="1">IF(Table_LuT_Begroting_Deelnemers[[#This Row],[FO | IO | EO]]="IO",INDIRECT("Subsidie_IO_"&amp;Table_LuT_Begroting_Deelnemers[[#This Row],[Verkorte Referentienaam Deelnemer]]),0)</f>
        <v>0</v>
      </c>
      <c r="AU8" s="8" cm="1">
        <f t="array" aca="1" ref="AU8" ca="1">IF(Table_LuT_Begroting_Deelnemers[[#This Row],[FO | IO | EO]]="EO",INDIRECT("Subsidie_EO_"&amp;Table_LuT_Begroting_Deelnemers[[#This Row],[Verkorte Referentienaam Deelnemer]]),0)</f>
        <v>0</v>
      </c>
      <c r="AV8" s="8">
        <f ca="1">SUM(Table_LuT_Begroting_Deelnemers[[#This Row],[Gevraagde Subsidie FO]:[Gevraagde Subsidie EO]])</f>
        <v>0</v>
      </c>
    </row>
    <row r="9" spans="1:48" ht="15" customHeight="1" x14ac:dyDescent="0.25">
      <c r="A9" s="2" t="s">
        <v>65</v>
      </c>
      <c r="B9" s="2" t="s">
        <v>81</v>
      </c>
      <c r="C9" s="3" t="str">
        <f>_xlfn.XLOOKUP(Table_LuT_Begroting_Deelnemers[[#This Row],[ID Deelnemer]],Table_LuT_Deelnemers[ID Deelnemer],Table_LuT_Deelnemers[Verkorte Referentienaam Deelnemer],"&lt;Not in LuT&gt;",0,1)</f>
        <v>DN8</v>
      </c>
      <c r="D9" s="3" t="str">
        <f>Table_LuT_Begroting_Deelnemers[[#This Row],[ID Deelnemer]]&amp;" # "&amp;Table_LuT_Begroting_Deelnemers[[#This Row],[FO | IO | EO]]</f>
        <v>Deelnemer 8 # FO</v>
      </c>
      <c r="E9" s="3" t="b" cm="1">
        <f t="array" aca="1" ref="E9" ca="1">_xlfn.XLOOKUP(Table_LuT_Begroting_Deelnemers[[#This Row],[ID Deelnemer]],Table_LuT_Deelnemers[ID Deelnemer],INDIRECT("Table_LuT_Deelnemers["&amp;E$1&amp;"]"),"&lt;Not in LuT&gt;",0,1)</f>
        <v>0</v>
      </c>
      <c r="F9" s="3" t="b" cm="1">
        <f t="array" aca="1" ref="F9" ca="1">_xlfn.XLOOKUP(Table_LuT_Begroting_Deelnemers[[#This Row],[ID Deelnemer]],Table_LuT_Deelnemers[ID Deelnemer],INDIRECT("Table_LuT_Deelnemers["&amp;F$1&amp;"]"),"&lt;Not in LuT&gt;",0,1)</f>
        <v>0</v>
      </c>
      <c r="G9" s="3" t="b" cm="1">
        <f t="array" aca="1" ref="G9" ca="1">_xlfn.XLOOKUP(Table_LuT_Begroting_Deelnemers[[#This Row],[ID Deelnemer]],Table_LuT_Deelnemers[ID Deelnemer],INDIRECT("Table_LuT_Deelnemers["&amp;G$1&amp;"]"),"&lt;Not in LuT&gt;",0,1)</f>
        <v>0</v>
      </c>
      <c r="H9" s="3" t="b" cm="1">
        <f t="array" ref="H9">Var_MKB_Consortium</f>
        <v>1</v>
      </c>
      <c r="I9" s="3" t="b">
        <f ca="1">Table_LuT_Begroting_Deelnemers[[#This Row],[Is OO?]]</f>
        <v>0</v>
      </c>
      <c r="J9" s="3" t="str" cm="1">
        <f t="array" aca="1" ref="J9" ca="1">_xlfn.XLOOKUP(Table_LuT_Begroting_Deelnemers[[#This Row],[ID Deelnemer]],Table_LuT_Deelnemers[ID Deelnemer],INDIRECT("Table_LuT_Deelnemers["&amp;J$1&amp;"]"),"&lt;Not in LuT&gt;",0,1)</f>
        <v/>
      </c>
      <c r="K9" s="3" t="str" cm="1">
        <f t="array" aca="1" ref="K9" ca="1">_xlfn.XLOOKUP(Table_LuT_Begroting_Deelnemers[[#This Row],[ID Deelnemer]],Table_LuT_Deelnemers[ID Deelnemer],INDIRECT("Table_LuT_Deelnemers["&amp;K$1&amp;"]"),"&lt;Not in LuT&gt;",0,1)</f>
        <v/>
      </c>
      <c r="L9" s="8" cm="1">
        <f t="array" aca="1" ref="L9" ca="1">INDIRECT("'"&amp;$A9&amp;"'!Kosten_"&amp;Table_LuT_Begroting_Deelnemers[[#This Row],[FO | IO | EO]])</f>
        <v>0</v>
      </c>
      <c r="M9" s="8" cm="1">
        <f t="array" aca="1" ref="M9" ca="1">_xlfn.LET(_xlpm.maxsub_aux,INDIRECT("'"&amp;$A9&amp;"'!Max_Subsidie_"&amp;Table_LuT_Begroting_Deelnemers[[#This Row],[FO | IO | EO]]),IF(Var_Sub.instr.="MKB",IF(Table_LuT_Begroting_Deelnemers[[#This Row],[Is MKB?]],MIN(_xlpm.maxsub_aux,Var_MaxSub_MKB_call_MKB),MIN(_xlpm.maxsub_aux,Var_MaxSub_MKB_call_OO)),_xlpm.maxsub_aux))</f>
        <v>0</v>
      </c>
      <c r="N9" s="8">
        <f ca="1">Table_LuT_Begroting_Deelnemers[[#This Row],[Kosten]]-Table_LuT_Begroting_Deelnemers[[#This Row],[Maximale Subsidie - HTSM]]</f>
        <v>0</v>
      </c>
      <c r="O9" s="387" cm="1">
        <f t="array" aca="1" ref="O9"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9" s="394">
        <f ca="1">Table_LuT_Begroting_Deelnemers[[#This Row],[Maximale Subsidie % - wettelijk]]*Table_LuT_Begroting_Deelnemers[[#This Row],[Kosten]]</f>
        <v>0</v>
      </c>
      <c r="Q9"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9" s="8">
        <f ca="1">Table_LuT_Begroting_Deelnemers[[#This Row],[Kosten OO]]-Table_LuT_Begroting_Deelnemers[[#This Row],[Maximale Subsidie OO - HTSM]]</f>
        <v>0</v>
      </c>
      <c r="U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9"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9" s="8">
        <f ca="1">Table_LuT_Begroting_Deelnemers[[#This Row],[Kosten PP]]-Table_LuT_Begroting_Deelnemers[[#This Row],[Maximale Subsidie PP - HTSM]]</f>
        <v>0</v>
      </c>
      <c r="Z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9"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9" s="8">
        <f ca="1">Table_LuT_Begroting_Deelnemers[[#This Row],[Kosten GB]]-Table_LuT_Begroting_Deelnemers[[#This Row],[Maximale Subsidie GB - HTSM]]</f>
        <v>0</v>
      </c>
      <c r="AE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9"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9" s="8">
        <f ca="1">Table_LuT_Begroting_Deelnemers[[#This Row],[Kosten MKB]]-Table_LuT_Begroting_Deelnemers[[#This Row],[Maximale Subsidie MKB - HTSM]]</f>
        <v>0</v>
      </c>
      <c r="AJ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9" s="8">
        <f ca="1">MIN(Table_LuT_Begroting_Deelnemers[[#This Row],[Gegenereerde Subsidie - OO+MKB]],Table_LuT_Begroting_Deelnemers[[#This Row],[Maximale Subsidie OO - overheid]])</f>
        <v>0</v>
      </c>
      <c r="AM9" s="8" cm="1">
        <f t="array" aca="1" ref="AM9"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9" s="8" cm="1">
        <f t="array" aca="1" ref="AN9" ca="1">IF(Table_LuT_Begroting_Deelnemers[[#This Row],[FO | IO | EO]]="FO",INDIRECT("Cash_"&amp;Table_LuT_Begroting_Deelnemers[[#This Row],[Verkorte Referentienaam Deelnemer]]),0)</f>
        <v>0</v>
      </c>
      <c r="AO9" s="8" cm="1">
        <f t="array" aca="1" ref="AO9" ca="1">IF(Table_LuT_Begroting_Deelnemers[[#This Row],[FO | IO | EO]]="FO",INDIRECT("Cash_Ontvangen_"&amp;Table_LuT_Begroting_Deelnemers[[#This Row],[Verkorte Referentienaam Deelnemer]]),0)</f>
        <v>0</v>
      </c>
      <c r="AP9" s="8">
        <f ca="1">IF(Table_LuT_Begroting_Deelnemers[[#This Row],[Is OO?]],Table_LuT_Begroting_Deelnemers[[#This Row],[Cash Ontvangen]],0)</f>
        <v>0</v>
      </c>
      <c r="AQ9" s="8" cm="1">
        <f t="array" aca="1" ref="AQ9" ca="1">IF(Table_LuT_Begroting_Deelnemers[[#This Row],[FO | IO | EO]]="FO",INDIRECT("In_kind_"&amp;Table_LuT_Begroting_Deelnemers[[#This Row],[Verkorte Referentienaam Deelnemer]]),0)</f>
        <v>0</v>
      </c>
      <c r="AR9" s="8" cm="1">
        <f t="array" aca="1" ref="AR9" ca="1">IF(Table_LuT_Begroting_Deelnemers[[#This Row],[FO | IO | EO]]="FO",INDIRECT("Overige_Subsidies_"&amp;Table_LuT_Begroting_Deelnemers[[#This Row],[Verkorte Referentienaam Deelnemer]]),0)</f>
        <v>0</v>
      </c>
      <c r="AS9" s="8" cm="1">
        <f t="array" aca="1" ref="AS9" ca="1">IF(Table_LuT_Begroting_Deelnemers[[#This Row],[FO | IO | EO]]="FO",INDIRECT("Subsidie_FO_"&amp;Table_LuT_Begroting_Deelnemers[[#This Row],[Verkorte Referentienaam Deelnemer]]),0)</f>
        <v>0</v>
      </c>
      <c r="AT9" s="8" cm="1">
        <f t="array" aca="1" ref="AT9" ca="1">IF(Table_LuT_Begroting_Deelnemers[[#This Row],[FO | IO | EO]]="IO",INDIRECT("Subsidie_IO_"&amp;Table_LuT_Begroting_Deelnemers[[#This Row],[Verkorte Referentienaam Deelnemer]]),0)</f>
        <v>0</v>
      </c>
      <c r="AU9" s="8" cm="1">
        <f t="array" aca="1" ref="AU9" ca="1">IF(Table_LuT_Begroting_Deelnemers[[#This Row],[FO | IO | EO]]="EO",INDIRECT("Subsidie_EO_"&amp;Table_LuT_Begroting_Deelnemers[[#This Row],[Verkorte Referentienaam Deelnemer]]),0)</f>
        <v>0</v>
      </c>
      <c r="AV9" s="8">
        <f ca="1">SUM(Table_LuT_Begroting_Deelnemers[[#This Row],[Gevraagde Subsidie FO]:[Gevraagde Subsidie EO]])</f>
        <v>0</v>
      </c>
    </row>
    <row r="10" spans="1:48" ht="15" customHeight="1" x14ac:dyDescent="0.25">
      <c r="A10" s="2" t="s">
        <v>66</v>
      </c>
      <c r="B10" s="2" t="s">
        <v>81</v>
      </c>
      <c r="C10" s="3" t="str">
        <f>_xlfn.XLOOKUP(Table_LuT_Begroting_Deelnemers[[#This Row],[ID Deelnemer]],Table_LuT_Deelnemers[ID Deelnemer],Table_LuT_Deelnemers[Verkorte Referentienaam Deelnemer],"&lt;Not in LuT&gt;",0,1)</f>
        <v>DN9</v>
      </c>
      <c r="D10" s="3" t="str">
        <f>Table_LuT_Begroting_Deelnemers[[#This Row],[ID Deelnemer]]&amp;" # "&amp;Table_LuT_Begroting_Deelnemers[[#This Row],[FO | IO | EO]]</f>
        <v>Deelnemer 9 # FO</v>
      </c>
      <c r="E10" s="3" t="b" cm="1">
        <f t="array" aca="1" ref="E10" ca="1">_xlfn.XLOOKUP(Table_LuT_Begroting_Deelnemers[[#This Row],[ID Deelnemer]],Table_LuT_Deelnemers[ID Deelnemer],INDIRECT("Table_LuT_Deelnemers["&amp;E$1&amp;"]"),"&lt;Not in LuT&gt;",0,1)</f>
        <v>0</v>
      </c>
      <c r="F10" s="3" t="b" cm="1">
        <f t="array" aca="1" ref="F10" ca="1">_xlfn.XLOOKUP(Table_LuT_Begroting_Deelnemers[[#This Row],[ID Deelnemer]],Table_LuT_Deelnemers[ID Deelnemer],INDIRECT("Table_LuT_Deelnemers["&amp;F$1&amp;"]"),"&lt;Not in LuT&gt;",0,1)</f>
        <v>0</v>
      </c>
      <c r="G10" s="3" t="b" cm="1">
        <f t="array" aca="1" ref="G10" ca="1">_xlfn.XLOOKUP(Table_LuT_Begroting_Deelnemers[[#This Row],[ID Deelnemer]],Table_LuT_Deelnemers[ID Deelnemer],INDIRECT("Table_LuT_Deelnemers["&amp;G$1&amp;"]"),"&lt;Not in LuT&gt;",0,1)</f>
        <v>0</v>
      </c>
      <c r="H10" s="3" t="b" cm="1">
        <f t="array" ref="H10">Var_MKB_Consortium</f>
        <v>1</v>
      </c>
      <c r="I10" s="3" t="b">
        <f ca="1">Table_LuT_Begroting_Deelnemers[[#This Row],[Is OO?]]</f>
        <v>0</v>
      </c>
      <c r="J10" s="3" t="str" cm="1">
        <f t="array" aca="1" ref="J10" ca="1">_xlfn.XLOOKUP(Table_LuT_Begroting_Deelnemers[[#This Row],[ID Deelnemer]],Table_LuT_Deelnemers[ID Deelnemer],INDIRECT("Table_LuT_Deelnemers["&amp;J$1&amp;"]"),"&lt;Not in LuT&gt;",0,1)</f>
        <v/>
      </c>
      <c r="K10" s="3" t="str" cm="1">
        <f t="array" aca="1" ref="K10" ca="1">_xlfn.XLOOKUP(Table_LuT_Begroting_Deelnemers[[#This Row],[ID Deelnemer]],Table_LuT_Deelnemers[ID Deelnemer],INDIRECT("Table_LuT_Deelnemers["&amp;K$1&amp;"]"),"&lt;Not in LuT&gt;",0,1)</f>
        <v/>
      </c>
      <c r="L10" s="8" cm="1">
        <f t="array" aca="1" ref="L10" ca="1">INDIRECT("'"&amp;$A10&amp;"'!Kosten_"&amp;Table_LuT_Begroting_Deelnemers[[#This Row],[FO | IO | EO]])</f>
        <v>0</v>
      </c>
      <c r="M10" s="8" cm="1">
        <f t="array" aca="1" ref="M10" ca="1">_xlfn.LET(_xlpm.maxsub_aux,INDIRECT("'"&amp;$A10&amp;"'!Max_Subsidie_"&amp;Table_LuT_Begroting_Deelnemers[[#This Row],[FO | IO | EO]]),IF(Var_Sub.instr.="MKB",IF(Table_LuT_Begroting_Deelnemers[[#This Row],[Is MKB?]],MIN(_xlpm.maxsub_aux,Var_MaxSub_MKB_call_MKB),MIN(_xlpm.maxsub_aux,Var_MaxSub_MKB_call_OO)),_xlpm.maxsub_aux))</f>
        <v>0</v>
      </c>
      <c r="N10" s="8">
        <f ca="1">Table_LuT_Begroting_Deelnemers[[#This Row],[Kosten]]-Table_LuT_Begroting_Deelnemers[[#This Row],[Maximale Subsidie - HTSM]]</f>
        <v>0</v>
      </c>
      <c r="O10" s="387" cm="1">
        <f t="array" aca="1" ref="O10"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10" s="394">
        <f ca="1">Table_LuT_Begroting_Deelnemers[[#This Row],[Maximale Subsidie % - wettelijk]]*Table_LuT_Begroting_Deelnemers[[#This Row],[Kosten]]</f>
        <v>0</v>
      </c>
      <c r="Q10"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1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1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10" s="8">
        <f ca="1">Table_LuT_Begroting_Deelnemers[[#This Row],[Kosten OO]]-Table_LuT_Begroting_Deelnemers[[#This Row],[Maximale Subsidie OO - HTSM]]</f>
        <v>0</v>
      </c>
      <c r="U1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10"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1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1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10" s="8">
        <f ca="1">Table_LuT_Begroting_Deelnemers[[#This Row],[Kosten PP]]-Table_LuT_Begroting_Deelnemers[[#This Row],[Maximale Subsidie PP - HTSM]]</f>
        <v>0</v>
      </c>
      <c r="Z1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10"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1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1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10" s="8">
        <f ca="1">Table_LuT_Begroting_Deelnemers[[#This Row],[Kosten GB]]-Table_LuT_Begroting_Deelnemers[[#This Row],[Maximale Subsidie GB - HTSM]]</f>
        <v>0</v>
      </c>
      <c r="AE1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10"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1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1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10" s="8">
        <f ca="1">Table_LuT_Begroting_Deelnemers[[#This Row],[Kosten MKB]]-Table_LuT_Begroting_Deelnemers[[#This Row],[Maximale Subsidie MKB - HTSM]]</f>
        <v>0</v>
      </c>
      <c r="AJ1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1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10" s="8">
        <f ca="1">MIN(Table_LuT_Begroting_Deelnemers[[#This Row],[Gegenereerde Subsidie - OO+MKB]],Table_LuT_Begroting_Deelnemers[[#This Row],[Maximale Subsidie OO - overheid]])</f>
        <v>0</v>
      </c>
      <c r="AM10" s="8" cm="1">
        <f t="array" aca="1" ref="AM10"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10" s="8" cm="1">
        <f t="array" aca="1" ref="AN10" ca="1">IF(Table_LuT_Begroting_Deelnemers[[#This Row],[FO | IO | EO]]="FO",INDIRECT("Cash_"&amp;Table_LuT_Begroting_Deelnemers[[#This Row],[Verkorte Referentienaam Deelnemer]]),0)</f>
        <v>0</v>
      </c>
      <c r="AO10" s="8" cm="1">
        <f t="array" aca="1" ref="AO10" ca="1">IF(Table_LuT_Begroting_Deelnemers[[#This Row],[FO | IO | EO]]="FO",INDIRECT("Cash_Ontvangen_"&amp;Table_LuT_Begroting_Deelnemers[[#This Row],[Verkorte Referentienaam Deelnemer]]),0)</f>
        <v>0</v>
      </c>
      <c r="AP10" s="8">
        <f ca="1">IF(Table_LuT_Begroting_Deelnemers[[#This Row],[Is OO?]],Table_LuT_Begroting_Deelnemers[[#This Row],[Cash Ontvangen]],0)</f>
        <v>0</v>
      </c>
      <c r="AQ10" s="8" cm="1">
        <f t="array" aca="1" ref="AQ10" ca="1">IF(Table_LuT_Begroting_Deelnemers[[#This Row],[FO | IO | EO]]="FO",INDIRECT("In_kind_"&amp;Table_LuT_Begroting_Deelnemers[[#This Row],[Verkorte Referentienaam Deelnemer]]),0)</f>
        <v>0</v>
      </c>
      <c r="AR10" s="8" cm="1">
        <f t="array" aca="1" ref="AR10" ca="1">IF(Table_LuT_Begroting_Deelnemers[[#This Row],[FO | IO | EO]]="FO",INDIRECT("Overige_Subsidies_"&amp;Table_LuT_Begroting_Deelnemers[[#This Row],[Verkorte Referentienaam Deelnemer]]),0)</f>
        <v>0</v>
      </c>
      <c r="AS10" s="8" cm="1">
        <f t="array" aca="1" ref="AS10" ca="1">IF(Table_LuT_Begroting_Deelnemers[[#This Row],[FO | IO | EO]]="FO",INDIRECT("Subsidie_FO_"&amp;Table_LuT_Begroting_Deelnemers[[#This Row],[Verkorte Referentienaam Deelnemer]]),0)</f>
        <v>0</v>
      </c>
      <c r="AT10" s="8" cm="1">
        <f t="array" aca="1" ref="AT10" ca="1">IF(Table_LuT_Begroting_Deelnemers[[#This Row],[FO | IO | EO]]="IO",INDIRECT("Subsidie_IO_"&amp;Table_LuT_Begroting_Deelnemers[[#This Row],[Verkorte Referentienaam Deelnemer]]),0)</f>
        <v>0</v>
      </c>
      <c r="AU10" s="8" cm="1">
        <f t="array" aca="1" ref="AU10" ca="1">IF(Table_LuT_Begroting_Deelnemers[[#This Row],[FO | IO | EO]]="EO",INDIRECT("Subsidie_EO_"&amp;Table_LuT_Begroting_Deelnemers[[#This Row],[Verkorte Referentienaam Deelnemer]]),0)</f>
        <v>0</v>
      </c>
      <c r="AV10" s="8">
        <f ca="1">SUM(Table_LuT_Begroting_Deelnemers[[#This Row],[Gevraagde Subsidie FO]:[Gevraagde Subsidie EO]])</f>
        <v>0</v>
      </c>
    </row>
    <row r="11" spans="1:48" ht="15" customHeight="1" x14ac:dyDescent="0.25">
      <c r="A11" s="2" t="s">
        <v>67</v>
      </c>
      <c r="B11" s="2" t="s">
        <v>81</v>
      </c>
      <c r="C11" s="3" t="str">
        <f>_xlfn.XLOOKUP(Table_LuT_Begroting_Deelnemers[[#This Row],[ID Deelnemer]],Table_LuT_Deelnemers[ID Deelnemer],Table_LuT_Deelnemers[Verkorte Referentienaam Deelnemer],"&lt;Not in LuT&gt;",0,1)</f>
        <v>DN10</v>
      </c>
      <c r="D11" s="3" t="str">
        <f>Table_LuT_Begroting_Deelnemers[[#This Row],[ID Deelnemer]]&amp;" # "&amp;Table_LuT_Begroting_Deelnemers[[#This Row],[FO | IO | EO]]</f>
        <v>Deelnemer 10 # FO</v>
      </c>
      <c r="E11" s="3" t="b" cm="1">
        <f t="array" aca="1" ref="E11" ca="1">_xlfn.XLOOKUP(Table_LuT_Begroting_Deelnemers[[#This Row],[ID Deelnemer]],Table_LuT_Deelnemers[ID Deelnemer],INDIRECT("Table_LuT_Deelnemers["&amp;E$1&amp;"]"),"&lt;Not in LuT&gt;",0,1)</f>
        <v>0</v>
      </c>
      <c r="F11" s="3" t="b" cm="1">
        <f t="array" aca="1" ref="F11" ca="1">_xlfn.XLOOKUP(Table_LuT_Begroting_Deelnemers[[#This Row],[ID Deelnemer]],Table_LuT_Deelnemers[ID Deelnemer],INDIRECT("Table_LuT_Deelnemers["&amp;F$1&amp;"]"),"&lt;Not in LuT&gt;",0,1)</f>
        <v>0</v>
      </c>
      <c r="G11" s="3" t="b" cm="1">
        <f t="array" aca="1" ref="G11" ca="1">_xlfn.XLOOKUP(Table_LuT_Begroting_Deelnemers[[#This Row],[ID Deelnemer]],Table_LuT_Deelnemers[ID Deelnemer],INDIRECT("Table_LuT_Deelnemers["&amp;G$1&amp;"]"),"&lt;Not in LuT&gt;",0,1)</f>
        <v>0</v>
      </c>
      <c r="H11" s="3" t="b" cm="1">
        <f t="array" ref="H11">Var_MKB_Consortium</f>
        <v>1</v>
      </c>
      <c r="I11" s="3" t="b">
        <f ca="1">Table_LuT_Begroting_Deelnemers[[#This Row],[Is OO?]]</f>
        <v>0</v>
      </c>
      <c r="J11" s="3" t="str" cm="1">
        <f t="array" aca="1" ref="J11" ca="1">_xlfn.XLOOKUP(Table_LuT_Begroting_Deelnemers[[#This Row],[ID Deelnemer]],Table_LuT_Deelnemers[ID Deelnemer],INDIRECT("Table_LuT_Deelnemers["&amp;J$1&amp;"]"),"&lt;Not in LuT&gt;",0,1)</f>
        <v/>
      </c>
      <c r="K11" s="3" t="str" cm="1">
        <f t="array" aca="1" ref="K11" ca="1">_xlfn.XLOOKUP(Table_LuT_Begroting_Deelnemers[[#This Row],[ID Deelnemer]],Table_LuT_Deelnemers[ID Deelnemer],INDIRECT("Table_LuT_Deelnemers["&amp;K$1&amp;"]"),"&lt;Not in LuT&gt;",0,1)</f>
        <v/>
      </c>
      <c r="L11" s="8" cm="1">
        <f t="array" aca="1" ref="L11" ca="1">INDIRECT("'"&amp;$A11&amp;"'!Kosten_"&amp;Table_LuT_Begroting_Deelnemers[[#This Row],[FO | IO | EO]])</f>
        <v>0</v>
      </c>
      <c r="M11" s="8" cm="1">
        <f t="array" aca="1" ref="M11" ca="1">_xlfn.LET(_xlpm.maxsub_aux,INDIRECT("'"&amp;$A11&amp;"'!Max_Subsidie_"&amp;Table_LuT_Begroting_Deelnemers[[#This Row],[FO | IO | EO]]),IF(Var_Sub.instr.="MKB",IF(Table_LuT_Begroting_Deelnemers[[#This Row],[Is MKB?]],MIN(_xlpm.maxsub_aux,Var_MaxSub_MKB_call_MKB),MIN(_xlpm.maxsub_aux,Var_MaxSub_MKB_call_OO)),_xlpm.maxsub_aux))</f>
        <v>0</v>
      </c>
      <c r="N11" s="8">
        <f ca="1">Table_LuT_Begroting_Deelnemers[[#This Row],[Kosten]]-Table_LuT_Begroting_Deelnemers[[#This Row],[Maximale Subsidie - HTSM]]</f>
        <v>0</v>
      </c>
      <c r="O11" s="387" cm="1">
        <f t="array" aca="1" ref="O11"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11" s="394">
        <f ca="1">Table_LuT_Begroting_Deelnemers[[#This Row],[Maximale Subsidie % - wettelijk]]*Table_LuT_Begroting_Deelnemers[[#This Row],[Kosten]]</f>
        <v>0</v>
      </c>
      <c r="Q11"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1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1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11" s="8">
        <f ca="1">Table_LuT_Begroting_Deelnemers[[#This Row],[Kosten OO]]-Table_LuT_Begroting_Deelnemers[[#This Row],[Maximale Subsidie OO - HTSM]]</f>
        <v>0</v>
      </c>
      <c r="U1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11"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1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1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11" s="8">
        <f ca="1">Table_LuT_Begroting_Deelnemers[[#This Row],[Kosten PP]]-Table_LuT_Begroting_Deelnemers[[#This Row],[Maximale Subsidie PP - HTSM]]</f>
        <v>0</v>
      </c>
      <c r="Z1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11"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1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1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11" s="8">
        <f ca="1">Table_LuT_Begroting_Deelnemers[[#This Row],[Kosten GB]]-Table_LuT_Begroting_Deelnemers[[#This Row],[Maximale Subsidie GB - HTSM]]</f>
        <v>0</v>
      </c>
      <c r="AE1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11"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1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1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11" s="8">
        <f ca="1">Table_LuT_Begroting_Deelnemers[[#This Row],[Kosten MKB]]-Table_LuT_Begroting_Deelnemers[[#This Row],[Maximale Subsidie MKB - HTSM]]</f>
        <v>0</v>
      </c>
      <c r="AJ1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1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11" s="8">
        <f ca="1">MIN(Table_LuT_Begroting_Deelnemers[[#This Row],[Gegenereerde Subsidie - OO+MKB]],Table_LuT_Begroting_Deelnemers[[#This Row],[Maximale Subsidie OO - overheid]])</f>
        <v>0</v>
      </c>
      <c r="AM11" s="8" cm="1">
        <f t="array" aca="1" ref="AM11"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11" s="8" cm="1">
        <f t="array" aca="1" ref="AN11" ca="1">IF(Table_LuT_Begroting_Deelnemers[[#This Row],[FO | IO | EO]]="FO",INDIRECT("Cash_"&amp;Table_LuT_Begroting_Deelnemers[[#This Row],[Verkorte Referentienaam Deelnemer]]),0)</f>
        <v>0</v>
      </c>
      <c r="AO11" s="8" cm="1">
        <f t="array" aca="1" ref="AO11" ca="1">IF(Table_LuT_Begroting_Deelnemers[[#This Row],[FO | IO | EO]]="FO",INDIRECT("Cash_Ontvangen_"&amp;Table_LuT_Begroting_Deelnemers[[#This Row],[Verkorte Referentienaam Deelnemer]]),0)</f>
        <v>0</v>
      </c>
      <c r="AP11" s="8">
        <f ca="1">IF(Table_LuT_Begroting_Deelnemers[[#This Row],[Is OO?]],Table_LuT_Begroting_Deelnemers[[#This Row],[Cash Ontvangen]],0)</f>
        <v>0</v>
      </c>
      <c r="AQ11" s="8" cm="1">
        <f t="array" aca="1" ref="AQ11" ca="1">IF(Table_LuT_Begroting_Deelnemers[[#This Row],[FO | IO | EO]]="FO",INDIRECT("In_kind_"&amp;Table_LuT_Begroting_Deelnemers[[#This Row],[Verkorte Referentienaam Deelnemer]]),0)</f>
        <v>0</v>
      </c>
      <c r="AR11" s="8" cm="1">
        <f t="array" aca="1" ref="AR11" ca="1">IF(Table_LuT_Begroting_Deelnemers[[#This Row],[FO | IO | EO]]="FO",INDIRECT("Overige_Subsidies_"&amp;Table_LuT_Begroting_Deelnemers[[#This Row],[Verkorte Referentienaam Deelnemer]]),0)</f>
        <v>0</v>
      </c>
      <c r="AS11" s="8" cm="1">
        <f t="array" aca="1" ref="AS11" ca="1">IF(Table_LuT_Begroting_Deelnemers[[#This Row],[FO | IO | EO]]="FO",INDIRECT("Subsidie_FO_"&amp;Table_LuT_Begroting_Deelnemers[[#This Row],[Verkorte Referentienaam Deelnemer]]),0)</f>
        <v>0</v>
      </c>
      <c r="AT11" s="8" cm="1">
        <f t="array" aca="1" ref="AT11" ca="1">IF(Table_LuT_Begroting_Deelnemers[[#This Row],[FO | IO | EO]]="IO",INDIRECT("Subsidie_IO_"&amp;Table_LuT_Begroting_Deelnemers[[#This Row],[Verkorte Referentienaam Deelnemer]]),0)</f>
        <v>0</v>
      </c>
      <c r="AU11" s="8" cm="1">
        <f t="array" aca="1" ref="AU11" ca="1">IF(Table_LuT_Begroting_Deelnemers[[#This Row],[FO | IO | EO]]="EO",INDIRECT("Subsidie_EO_"&amp;Table_LuT_Begroting_Deelnemers[[#This Row],[Verkorte Referentienaam Deelnemer]]),0)</f>
        <v>0</v>
      </c>
      <c r="AV11" s="8">
        <f ca="1">SUM(Table_LuT_Begroting_Deelnemers[[#This Row],[Gevraagde Subsidie FO]:[Gevraagde Subsidie EO]])</f>
        <v>0</v>
      </c>
    </row>
    <row r="12" spans="1:48" ht="15" customHeight="1" x14ac:dyDescent="0.25">
      <c r="A12" s="2" t="s">
        <v>189</v>
      </c>
      <c r="B12" s="2" t="s">
        <v>81</v>
      </c>
      <c r="C12" s="3" t="str">
        <f>_xlfn.XLOOKUP(Table_LuT_Begroting_Deelnemers[[#This Row],[ID Deelnemer]],Table_LuT_Deelnemers[ID Deelnemer],Table_LuT_Deelnemers[Verkorte Referentienaam Deelnemer],"&lt;Not in LuT&gt;",0,1)</f>
        <v>DN11</v>
      </c>
      <c r="D12" s="3" t="str">
        <f>Table_LuT_Begroting_Deelnemers[[#This Row],[ID Deelnemer]]&amp;" # "&amp;Table_LuT_Begroting_Deelnemers[[#This Row],[FO | IO | EO]]</f>
        <v>Deelnemer 11 # FO</v>
      </c>
      <c r="E12" s="3" t="b" cm="1">
        <f t="array" aca="1" ref="E12" ca="1">_xlfn.XLOOKUP(Table_LuT_Begroting_Deelnemers[[#This Row],[ID Deelnemer]],Table_LuT_Deelnemers[ID Deelnemer],INDIRECT("Table_LuT_Deelnemers["&amp;E$1&amp;"]"),"&lt;Not in LuT&gt;",0,1)</f>
        <v>0</v>
      </c>
      <c r="F12" s="3" t="b" cm="1">
        <f t="array" aca="1" ref="F12" ca="1">_xlfn.XLOOKUP(Table_LuT_Begroting_Deelnemers[[#This Row],[ID Deelnemer]],Table_LuT_Deelnemers[ID Deelnemer],INDIRECT("Table_LuT_Deelnemers["&amp;F$1&amp;"]"),"&lt;Not in LuT&gt;",0,1)</f>
        <v>0</v>
      </c>
      <c r="G12" s="3" t="b" cm="1">
        <f t="array" aca="1" ref="G12" ca="1">_xlfn.XLOOKUP(Table_LuT_Begroting_Deelnemers[[#This Row],[ID Deelnemer]],Table_LuT_Deelnemers[ID Deelnemer],INDIRECT("Table_LuT_Deelnemers["&amp;G$1&amp;"]"),"&lt;Not in LuT&gt;",0,1)</f>
        <v>0</v>
      </c>
      <c r="H12" s="3" t="b" cm="1">
        <f t="array" ref="H12">Var_MKB_Consortium</f>
        <v>1</v>
      </c>
      <c r="I12" s="3" t="b">
        <f ca="1">Table_LuT_Begroting_Deelnemers[[#This Row],[Is OO?]]</f>
        <v>0</v>
      </c>
      <c r="J12" s="3" t="str" cm="1">
        <f t="array" aca="1" ref="J12" ca="1">_xlfn.XLOOKUP(Table_LuT_Begroting_Deelnemers[[#This Row],[ID Deelnemer]],Table_LuT_Deelnemers[ID Deelnemer],INDIRECT("Table_LuT_Deelnemers["&amp;J$1&amp;"]"),"&lt;Not in LuT&gt;",0,1)</f>
        <v/>
      </c>
      <c r="K12" s="3" t="str" cm="1">
        <f t="array" aca="1" ref="K12" ca="1">_xlfn.XLOOKUP(Table_LuT_Begroting_Deelnemers[[#This Row],[ID Deelnemer]],Table_LuT_Deelnemers[ID Deelnemer],INDIRECT("Table_LuT_Deelnemers["&amp;K$1&amp;"]"),"&lt;Not in LuT&gt;",0,1)</f>
        <v/>
      </c>
      <c r="L12" s="8" cm="1">
        <f t="array" aca="1" ref="L12" ca="1">INDIRECT("'"&amp;$A12&amp;"'!Kosten_"&amp;Table_LuT_Begroting_Deelnemers[[#This Row],[FO | IO | EO]])</f>
        <v>0</v>
      </c>
      <c r="M12" s="8" cm="1">
        <f t="array" aca="1" ref="M12" ca="1">_xlfn.LET(_xlpm.maxsub_aux,INDIRECT("'"&amp;$A12&amp;"'!Max_Subsidie_"&amp;Table_LuT_Begroting_Deelnemers[[#This Row],[FO | IO | EO]]),IF(Var_Sub.instr.="MKB",IF(Table_LuT_Begroting_Deelnemers[[#This Row],[Is MKB?]],MIN(_xlpm.maxsub_aux,Var_MaxSub_MKB_call_MKB),MIN(_xlpm.maxsub_aux,Var_MaxSub_MKB_call_OO)),_xlpm.maxsub_aux))</f>
        <v>0</v>
      </c>
      <c r="N12" s="8">
        <f ca="1">Table_LuT_Begroting_Deelnemers[[#This Row],[Kosten]]-Table_LuT_Begroting_Deelnemers[[#This Row],[Maximale Subsidie - HTSM]]</f>
        <v>0</v>
      </c>
      <c r="O12" s="387" cm="1">
        <f t="array" aca="1" ref="O12"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12" s="394">
        <f ca="1">Table_LuT_Begroting_Deelnemers[[#This Row],[Maximale Subsidie % - wettelijk]]*Table_LuT_Begroting_Deelnemers[[#This Row],[Kosten]]</f>
        <v>0</v>
      </c>
      <c r="Q12"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1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1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12" s="8">
        <f ca="1">Table_LuT_Begroting_Deelnemers[[#This Row],[Kosten OO]]-Table_LuT_Begroting_Deelnemers[[#This Row],[Maximale Subsidie OO - HTSM]]</f>
        <v>0</v>
      </c>
      <c r="U1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12"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1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1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12" s="8">
        <f ca="1">Table_LuT_Begroting_Deelnemers[[#This Row],[Kosten PP]]-Table_LuT_Begroting_Deelnemers[[#This Row],[Maximale Subsidie PP - HTSM]]</f>
        <v>0</v>
      </c>
      <c r="Z1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12"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1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1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12" s="8">
        <f ca="1">Table_LuT_Begroting_Deelnemers[[#This Row],[Kosten GB]]-Table_LuT_Begroting_Deelnemers[[#This Row],[Maximale Subsidie GB - HTSM]]</f>
        <v>0</v>
      </c>
      <c r="AE1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12"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1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1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12" s="8">
        <f ca="1">Table_LuT_Begroting_Deelnemers[[#This Row],[Kosten MKB]]-Table_LuT_Begroting_Deelnemers[[#This Row],[Maximale Subsidie MKB - HTSM]]</f>
        <v>0</v>
      </c>
      <c r="AJ1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1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12" s="8">
        <f ca="1">MIN(Table_LuT_Begroting_Deelnemers[[#This Row],[Gegenereerde Subsidie - OO+MKB]],Table_LuT_Begroting_Deelnemers[[#This Row],[Maximale Subsidie OO - overheid]])</f>
        <v>0</v>
      </c>
      <c r="AM12" s="8" cm="1">
        <f t="array" aca="1" ref="AM12"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12" s="8" cm="1">
        <f t="array" aca="1" ref="AN12" ca="1">IF(Table_LuT_Begroting_Deelnemers[[#This Row],[FO | IO | EO]]="FO",INDIRECT("Cash_"&amp;Table_LuT_Begroting_Deelnemers[[#This Row],[Verkorte Referentienaam Deelnemer]]),0)</f>
        <v>0</v>
      </c>
      <c r="AO12" s="8" cm="1">
        <f t="array" aca="1" ref="AO12" ca="1">IF(Table_LuT_Begroting_Deelnemers[[#This Row],[FO | IO | EO]]="FO",INDIRECT("Cash_Ontvangen_"&amp;Table_LuT_Begroting_Deelnemers[[#This Row],[Verkorte Referentienaam Deelnemer]]),0)</f>
        <v>0</v>
      </c>
      <c r="AP12" s="8">
        <f ca="1">IF(Table_LuT_Begroting_Deelnemers[[#This Row],[Is OO?]],Table_LuT_Begroting_Deelnemers[[#This Row],[Cash Ontvangen]],0)</f>
        <v>0</v>
      </c>
      <c r="AQ12" s="8" cm="1">
        <f t="array" aca="1" ref="AQ12" ca="1">IF(Table_LuT_Begroting_Deelnemers[[#This Row],[FO | IO | EO]]="FO",INDIRECT("In_kind_"&amp;Table_LuT_Begroting_Deelnemers[[#This Row],[Verkorte Referentienaam Deelnemer]]),0)</f>
        <v>0</v>
      </c>
      <c r="AR12" s="8" cm="1">
        <f t="array" aca="1" ref="AR12" ca="1">IF(Table_LuT_Begroting_Deelnemers[[#This Row],[FO | IO | EO]]="FO",INDIRECT("Overige_Subsidies_"&amp;Table_LuT_Begroting_Deelnemers[[#This Row],[Verkorte Referentienaam Deelnemer]]),0)</f>
        <v>0</v>
      </c>
      <c r="AS12" s="8" cm="1">
        <f t="array" aca="1" ref="AS12" ca="1">IF(Table_LuT_Begroting_Deelnemers[[#This Row],[FO | IO | EO]]="FO",INDIRECT("Subsidie_FO_"&amp;Table_LuT_Begroting_Deelnemers[[#This Row],[Verkorte Referentienaam Deelnemer]]),0)</f>
        <v>0</v>
      </c>
      <c r="AT12" s="8" cm="1">
        <f t="array" aca="1" ref="AT12" ca="1">IF(Table_LuT_Begroting_Deelnemers[[#This Row],[FO | IO | EO]]="IO",INDIRECT("Subsidie_IO_"&amp;Table_LuT_Begroting_Deelnemers[[#This Row],[Verkorte Referentienaam Deelnemer]]),0)</f>
        <v>0</v>
      </c>
      <c r="AU12" s="8" cm="1">
        <f t="array" aca="1" ref="AU12" ca="1">IF(Table_LuT_Begroting_Deelnemers[[#This Row],[FO | IO | EO]]="EO",INDIRECT("Subsidie_EO_"&amp;Table_LuT_Begroting_Deelnemers[[#This Row],[Verkorte Referentienaam Deelnemer]]),0)</f>
        <v>0</v>
      </c>
      <c r="AV12" s="8">
        <f ca="1">SUM(Table_LuT_Begroting_Deelnemers[[#This Row],[Gevraagde Subsidie FO]:[Gevraagde Subsidie EO]])</f>
        <v>0</v>
      </c>
    </row>
    <row r="13" spans="1:48" ht="15" customHeight="1" x14ac:dyDescent="0.25">
      <c r="A13" s="2" t="s">
        <v>190</v>
      </c>
      <c r="B13" s="2" t="s">
        <v>81</v>
      </c>
      <c r="C13" s="3" t="str">
        <f>_xlfn.XLOOKUP(Table_LuT_Begroting_Deelnemers[[#This Row],[ID Deelnemer]],Table_LuT_Deelnemers[ID Deelnemer],Table_LuT_Deelnemers[Verkorte Referentienaam Deelnemer],"&lt;Not in LuT&gt;",0,1)</f>
        <v>DN12</v>
      </c>
      <c r="D13" s="3" t="str">
        <f>Table_LuT_Begroting_Deelnemers[[#This Row],[ID Deelnemer]]&amp;" # "&amp;Table_LuT_Begroting_Deelnemers[[#This Row],[FO | IO | EO]]</f>
        <v>Deelnemer 12 # FO</v>
      </c>
      <c r="E13" s="3" t="b" cm="1">
        <f t="array" aca="1" ref="E13" ca="1">_xlfn.XLOOKUP(Table_LuT_Begroting_Deelnemers[[#This Row],[ID Deelnemer]],Table_LuT_Deelnemers[ID Deelnemer],INDIRECT("Table_LuT_Deelnemers["&amp;E$1&amp;"]"),"&lt;Not in LuT&gt;",0,1)</f>
        <v>0</v>
      </c>
      <c r="F13" s="3" t="b" cm="1">
        <f t="array" aca="1" ref="F13" ca="1">_xlfn.XLOOKUP(Table_LuT_Begroting_Deelnemers[[#This Row],[ID Deelnemer]],Table_LuT_Deelnemers[ID Deelnemer],INDIRECT("Table_LuT_Deelnemers["&amp;F$1&amp;"]"),"&lt;Not in LuT&gt;",0,1)</f>
        <v>0</v>
      </c>
      <c r="G13" s="3" t="b" cm="1">
        <f t="array" aca="1" ref="G13" ca="1">_xlfn.XLOOKUP(Table_LuT_Begroting_Deelnemers[[#This Row],[ID Deelnemer]],Table_LuT_Deelnemers[ID Deelnemer],INDIRECT("Table_LuT_Deelnemers["&amp;G$1&amp;"]"),"&lt;Not in LuT&gt;",0,1)</f>
        <v>0</v>
      </c>
      <c r="H13" s="3" t="b" cm="1">
        <f t="array" ref="H13">Var_MKB_Consortium</f>
        <v>1</v>
      </c>
      <c r="I13" s="3" t="b">
        <f ca="1">Table_LuT_Begroting_Deelnemers[[#This Row],[Is OO?]]</f>
        <v>0</v>
      </c>
      <c r="J13" s="3" t="str" cm="1">
        <f t="array" aca="1" ref="J13" ca="1">_xlfn.XLOOKUP(Table_LuT_Begroting_Deelnemers[[#This Row],[ID Deelnemer]],Table_LuT_Deelnemers[ID Deelnemer],INDIRECT("Table_LuT_Deelnemers["&amp;J$1&amp;"]"),"&lt;Not in LuT&gt;",0,1)</f>
        <v/>
      </c>
      <c r="K13" s="3" t="str" cm="1">
        <f t="array" aca="1" ref="K13" ca="1">_xlfn.XLOOKUP(Table_LuT_Begroting_Deelnemers[[#This Row],[ID Deelnemer]],Table_LuT_Deelnemers[ID Deelnemer],INDIRECT("Table_LuT_Deelnemers["&amp;K$1&amp;"]"),"&lt;Not in LuT&gt;",0,1)</f>
        <v/>
      </c>
      <c r="L13" s="8" cm="1">
        <f t="array" aca="1" ref="L13" ca="1">INDIRECT("'"&amp;$A13&amp;"'!Kosten_"&amp;Table_LuT_Begroting_Deelnemers[[#This Row],[FO | IO | EO]])</f>
        <v>0</v>
      </c>
      <c r="M13" s="8" cm="1">
        <f t="array" aca="1" ref="M13" ca="1">_xlfn.LET(_xlpm.maxsub_aux,INDIRECT("'"&amp;$A13&amp;"'!Max_Subsidie_"&amp;Table_LuT_Begroting_Deelnemers[[#This Row],[FO | IO | EO]]),IF(Var_Sub.instr.="MKB",IF(Table_LuT_Begroting_Deelnemers[[#This Row],[Is MKB?]],MIN(_xlpm.maxsub_aux,Var_MaxSub_MKB_call_MKB),MIN(_xlpm.maxsub_aux,Var_MaxSub_MKB_call_OO)),_xlpm.maxsub_aux))</f>
        <v>0</v>
      </c>
      <c r="N13" s="8">
        <f ca="1">Table_LuT_Begroting_Deelnemers[[#This Row],[Kosten]]-Table_LuT_Begroting_Deelnemers[[#This Row],[Maximale Subsidie - HTSM]]</f>
        <v>0</v>
      </c>
      <c r="O13" s="387" cm="1">
        <f t="array" aca="1" ref="O13"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13" s="394">
        <f ca="1">Table_LuT_Begroting_Deelnemers[[#This Row],[Maximale Subsidie % - wettelijk]]*Table_LuT_Begroting_Deelnemers[[#This Row],[Kosten]]</f>
        <v>0</v>
      </c>
      <c r="Q13"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1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1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13" s="8">
        <f ca="1">Table_LuT_Begroting_Deelnemers[[#This Row],[Kosten OO]]-Table_LuT_Begroting_Deelnemers[[#This Row],[Maximale Subsidie OO - HTSM]]</f>
        <v>0</v>
      </c>
      <c r="U1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13"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1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1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13" s="8">
        <f ca="1">Table_LuT_Begroting_Deelnemers[[#This Row],[Kosten PP]]-Table_LuT_Begroting_Deelnemers[[#This Row],[Maximale Subsidie PP - HTSM]]</f>
        <v>0</v>
      </c>
      <c r="Z1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13"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1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1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13" s="8">
        <f ca="1">Table_LuT_Begroting_Deelnemers[[#This Row],[Kosten GB]]-Table_LuT_Begroting_Deelnemers[[#This Row],[Maximale Subsidie GB - HTSM]]</f>
        <v>0</v>
      </c>
      <c r="AE1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13"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1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1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13" s="8">
        <f ca="1">Table_LuT_Begroting_Deelnemers[[#This Row],[Kosten MKB]]-Table_LuT_Begroting_Deelnemers[[#This Row],[Maximale Subsidie MKB - HTSM]]</f>
        <v>0</v>
      </c>
      <c r="AJ1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1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13" s="8">
        <f ca="1">MIN(Table_LuT_Begroting_Deelnemers[[#This Row],[Gegenereerde Subsidie - OO+MKB]],Table_LuT_Begroting_Deelnemers[[#This Row],[Maximale Subsidie OO - overheid]])</f>
        <v>0</v>
      </c>
      <c r="AM13" s="8" cm="1">
        <f t="array" aca="1" ref="AM13"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13" s="8" cm="1">
        <f t="array" aca="1" ref="AN13" ca="1">IF(Table_LuT_Begroting_Deelnemers[[#This Row],[FO | IO | EO]]="FO",INDIRECT("Cash_"&amp;Table_LuT_Begroting_Deelnemers[[#This Row],[Verkorte Referentienaam Deelnemer]]),0)</f>
        <v>0</v>
      </c>
      <c r="AO13" s="8" cm="1">
        <f t="array" aca="1" ref="AO13" ca="1">IF(Table_LuT_Begroting_Deelnemers[[#This Row],[FO | IO | EO]]="FO",INDIRECT("Cash_Ontvangen_"&amp;Table_LuT_Begroting_Deelnemers[[#This Row],[Verkorte Referentienaam Deelnemer]]),0)</f>
        <v>0</v>
      </c>
      <c r="AP13" s="8">
        <f ca="1">IF(Table_LuT_Begroting_Deelnemers[[#This Row],[Is OO?]],Table_LuT_Begroting_Deelnemers[[#This Row],[Cash Ontvangen]],0)</f>
        <v>0</v>
      </c>
      <c r="AQ13" s="8" cm="1">
        <f t="array" aca="1" ref="AQ13" ca="1">IF(Table_LuT_Begroting_Deelnemers[[#This Row],[FO | IO | EO]]="FO",INDIRECT("In_kind_"&amp;Table_LuT_Begroting_Deelnemers[[#This Row],[Verkorte Referentienaam Deelnemer]]),0)</f>
        <v>0</v>
      </c>
      <c r="AR13" s="8" cm="1">
        <f t="array" aca="1" ref="AR13" ca="1">IF(Table_LuT_Begroting_Deelnemers[[#This Row],[FO | IO | EO]]="FO",INDIRECT("Overige_Subsidies_"&amp;Table_LuT_Begroting_Deelnemers[[#This Row],[Verkorte Referentienaam Deelnemer]]),0)</f>
        <v>0</v>
      </c>
      <c r="AS13" s="8" cm="1">
        <f t="array" aca="1" ref="AS13" ca="1">IF(Table_LuT_Begroting_Deelnemers[[#This Row],[FO | IO | EO]]="FO",INDIRECT("Subsidie_FO_"&amp;Table_LuT_Begroting_Deelnemers[[#This Row],[Verkorte Referentienaam Deelnemer]]),0)</f>
        <v>0</v>
      </c>
      <c r="AT13" s="8" cm="1">
        <f t="array" aca="1" ref="AT13" ca="1">IF(Table_LuT_Begroting_Deelnemers[[#This Row],[FO | IO | EO]]="IO",INDIRECT("Subsidie_IO_"&amp;Table_LuT_Begroting_Deelnemers[[#This Row],[Verkorte Referentienaam Deelnemer]]),0)</f>
        <v>0</v>
      </c>
      <c r="AU13" s="8" cm="1">
        <f t="array" aca="1" ref="AU13" ca="1">IF(Table_LuT_Begroting_Deelnemers[[#This Row],[FO | IO | EO]]="EO",INDIRECT("Subsidie_EO_"&amp;Table_LuT_Begroting_Deelnemers[[#This Row],[Verkorte Referentienaam Deelnemer]]),0)</f>
        <v>0</v>
      </c>
      <c r="AV13" s="8">
        <f ca="1">SUM(Table_LuT_Begroting_Deelnemers[[#This Row],[Gevraagde Subsidie FO]:[Gevraagde Subsidie EO]])</f>
        <v>0</v>
      </c>
    </row>
    <row r="14" spans="1:48" ht="15" customHeight="1" x14ac:dyDescent="0.25">
      <c r="A14" s="2" t="s">
        <v>191</v>
      </c>
      <c r="B14" s="2" t="s">
        <v>81</v>
      </c>
      <c r="C14" s="3" t="str">
        <f>_xlfn.XLOOKUP(Table_LuT_Begroting_Deelnemers[[#This Row],[ID Deelnemer]],Table_LuT_Deelnemers[ID Deelnemer],Table_LuT_Deelnemers[Verkorte Referentienaam Deelnemer],"&lt;Not in LuT&gt;",0,1)</f>
        <v>DN13</v>
      </c>
      <c r="D14" s="3" t="str">
        <f>Table_LuT_Begroting_Deelnemers[[#This Row],[ID Deelnemer]]&amp;" # "&amp;Table_LuT_Begroting_Deelnemers[[#This Row],[FO | IO | EO]]</f>
        <v>Deelnemer 13 # FO</v>
      </c>
      <c r="E14" s="3" t="b" cm="1">
        <f t="array" aca="1" ref="E14" ca="1">_xlfn.XLOOKUP(Table_LuT_Begroting_Deelnemers[[#This Row],[ID Deelnemer]],Table_LuT_Deelnemers[ID Deelnemer],INDIRECT("Table_LuT_Deelnemers["&amp;E$1&amp;"]"),"&lt;Not in LuT&gt;",0,1)</f>
        <v>0</v>
      </c>
      <c r="F14" s="3" t="b" cm="1">
        <f t="array" aca="1" ref="F14" ca="1">_xlfn.XLOOKUP(Table_LuT_Begroting_Deelnemers[[#This Row],[ID Deelnemer]],Table_LuT_Deelnemers[ID Deelnemer],INDIRECT("Table_LuT_Deelnemers["&amp;F$1&amp;"]"),"&lt;Not in LuT&gt;",0,1)</f>
        <v>0</v>
      </c>
      <c r="G14" s="3" t="b" cm="1">
        <f t="array" aca="1" ref="G14" ca="1">_xlfn.XLOOKUP(Table_LuT_Begroting_Deelnemers[[#This Row],[ID Deelnemer]],Table_LuT_Deelnemers[ID Deelnemer],INDIRECT("Table_LuT_Deelnemers["&amp;G$1&amp;"]"),"&lt;Not in LuT&gt;",0,1)</f>
        <v>0</v>
      </c>
      <c r="H14" s="3" t="b" cm="1">
        <f t="array" ref="H14">Var_MKB_Consortium</f>
        <v>1</v>
      </c>
      <c r="I14" s="3" t="b">
        <f ca="1">Table_LuT_Begroting_Deelnemers[[#This Row],[Is OO?]]</f>
        <v>0</v>
      </c>
      <c r="J14" s="3" t="str" cm="1">
        <f t="array" aca="1" ref="J14" ca="1">_xlfn.XLOOKUP(Table_LuT_Begroting_Deelnemers[[#This Row],[ID Deelnemer]],Table_LuT_Deelnemers[ID Deelnemer],INDIRECT("Table_LuT_Deelnemers["&amp;J$1&amp;"]"),"&lt;Not in LuT&gt;",0,1)</f>
        <v/>
      </c>
      <c r="K14" s="3" t="str" cm="1">
        <f t="array" aca="1" ref="K14" ca="1">_xlfn.XLOOKUP(Table_LuT_Begroting_Deelnemers[[#This Row],[ID Deelnemer]],Table_LuT_Deelnemers[ID Deelnemer],INDIRECT("Table_LuT_Deelnemers["&amp;K$1&amp;"]"),"&lt;Not in LuT&gt;",0,1)</f>
        <v/>
      </c>
      <c r="L14" s="8" cm="1">
        <f t="array" aca="1" ref="L14" ca="1">INDIRECT("'"&amp;$A14&amp;"'!Kosten_"&amp;Table_LuT_Begroting_Deelnemers[[#This Row],[FO | IO | EO]])</f>
        <v>0</v>
      </c>
      <c r="M14" s="8" cm="1">
        <f t="array" aca="1" ref="M14" ca="1">_xlfn.LET(_xlpm.maxsub_aux,INDIRECT("'"&amp;$A14&amp;"'!Max_Subsidie_"&amp;Table_LuT_Begroting_Deelnemers[[#This Row],[FO | IO | EO]]),IF(Var_Sub.instr.="MKB",IF(Table_LuT_Begroting_Deelnemers[[#This Row],[Is MKB?]],MIN(_xlpm.maxsub_aux,Var_MaxSub_MKB_call_MKB),MIN(_xlpm.maxsub_aux,Var_MaxSub_MKB_call_OO)),_xlpm.maxsub_aux))</f>
        <v>0</v>
      </c>
      <c r="N14" s="8">
        <f ca="1">Table_LuT_Begroting_Deelnemers[[#This Row],[Kosten]]-Table_LuT_Begroting_Deelnemers[[#This Row],[Maximale Subsidie - HTSM]]</f>
        <v>0</v>
      </c>
      <c r="O14" s="387" cm="1">
        <f t="array" aca="1" ref="O14"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14" s="394">
        <f ca="1">Table_LuT_Begroting_Deelnemers[[#This Row],[Maximale Subsidie % - wettelijk]]*Table_LuT_Begroting_Deelnemers[[#This Row],[Kosten]]</f>
        <v>0</v>
      </c>
      <c r="Q14"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1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1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14" s="8">
        <f ca="1">Table_LuT_Begroting_Deelnemers[[#This Row],[Kosten OO]]-Table_LuT_Begroting_Deelnemers[[#This Row],[Maximale Subsidie OO - HTSM]]</f>
        <v>0</v>
      </c>
      <c r="U1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14"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1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1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14" s="8">
        <f ca="1">Table_LuT_Begroting_Deelnemers[[#This Row],[Kosten PP]]-Table_LuT_Begroting_Deelnemers[[#This Row],[Maximale Subsidie PP - HTSM]]</f>
        <v>0</v>
      </c>
      <c r="Z1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14"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1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1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14" s="8">
        <f ca="1">Table_LuT_Begroting_Deelnemers[[#This Row],[Kosten GB]]-Table_LuT_Begroting_Deelnemers[[#This Row],[Maximale Subsidie GB - HTSM]]</f>
        <v>0</v>
      </c>
      <c r="AE1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14"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1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1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14" s="8">
        <f ca="1">Table_LuT_Begroting_Deelnemers[[#This Row],[Kosten MKB]]-Table_LuT_Begroting_Deelnemers[[#This Row],[Maximale Subsidie MKB - HTSM]]</f>
        <v>0</v>
      </c>
      <c r="AJ1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1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14" s="8">
        <f ca="1">MIN(Table_LuT_Begroting_Deelnemers[[#This Row],[Gegenereerde Subsidie - OO+MKB]],Table_LuT_Begroting_Deelnemers[[#This Row],[Maximale Subsidie OO - overheid]])</f>
        <v>0</v>
      </c>
      <c r="AM14" s="8" cm="1">
        <f t="array" aca="1" ref="AM14"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14" s="8" cm="1">
        <f t="array" aca="1" ref="AN14" ca="1">IF(Table_LuT_Begroting_Deelnemers[[#This Row],[FO | IO | EO]]="FO",INDIRECT("Cash_"&amp;Table_LuT_Begroting_Deelnemers[[#This Row],[Verkorte Referentienaam Deelnemer]]),0)</f>
        <v>0</v>
      </c>
      <c r="AO14" s="8" cm="1">
        <f t="array" aca="1" ref="AO14" ca="1">IF(Table_LuT_Begroting_Deelnemers[[#This Row],[FO | IO | EO]]="FO",INDIRECT("Cash_Ontvangen_"&amp;Table_LuT_Begroting_Deelnemers[[#This Row],[Verkorte Referentienaam Deelnemer]]),0)</f>
        <v>0</v>
      </c>
      <c r="AP14" s="8">
        <f ca="1">IF(Table_LuT_Begroting_Deelnemers[[#This Row],[Is OO?]],Table_LuT_Begroting_Deelnemers[[#This Row],[Cash Ontvangen]],0)</f>
        <v>0</v>
      </c>
      <c r="AQ14" s="8" cm="1">
        <f t="array" aca="1" ref="AQ14" ca="1">IF(Table_LuT_Begroting_Deelnemers[[#This Row],[FO | IO | EO]]="FO",INDIRECT("In_kind_"&amp;Table_LuT_Begroting_Deelnemers[[#This Row],[Verkorte Referentienaam Deelnemer]]),0)</f>
        <v>0</v>
      </c>
      <c r="AR14" s="8" cm="1">
        <f t="array" aca="1" ref="AR14" ca="1">IF(Table_LuT_Begroting_Deelnemers[[#This Row],[FO | IO | EO]]="FO",INDIRECT("Overige_Subsidies_"&amp;Table_LuT_Begroting_Deelnemers[[#This Row],[Verkorte Referentienaam Deelnemer]]),0)</f>
        <v>0</v>
      </c>
      <c r="AS14" s="8" cm="1">
        <f t="array" aca="1" ref="AS14" ca="1">IF(Table_LuT_Begroting_Deelnemers[[#This Row],[FO | IO | EO]]="FO",INDIRECT("Subsidie_FO_"&amp;Table_LuT_Begroting_Deelnemers[[#This Row],[Verkorte Referentienaam Deelnemer]]),0)</f>
        <v>0</v>
      </c>
      <c r="AT14" s="8" cm="1">
        <f t="array" aca="1" ref="AT14" ca="1">IF(Table_LuT_Begroting_Deelnemers[[#This Row],[FO | IO | EO]]="IO",INDIRECT("Subsidie_IO_"&amp;Table_LuT_Begroting_Deelnemers[[#This Row],[Verkorte Referentienaam Deelnemer]]),0)</f>
        <v>0</v>
      </c>
      <c r="AU14" s="8" cm="1">
        <f t="array" aca="1" ref="AU14" ca="1">IF(Table_LuT_Begroting_Deelnemers[[#This Row],[FO | IO | EO]]="EO",INDIRECT("Subsidie_EO_"&amp;Table_LuT_Begroting_Deelnemers[[#This Row],[Verkorte Referentienaam Deelnemer]]),0)</f>
        <v>0</v>
      </c>
      <c r="AV14" s="8">
        <f ca="1">SUM(Table_LuT_Begroting_Deelnemers[[#This Row],[Gevraagde Subsidie FO]:[Gevraagde Subsidie EO]])</f>
        <v>0</v>
      </c>
    </row>
    <row r="15" spans="1:48" ht="15" customHeight="1" x14ac:dyDescent="0.25">
      <c r="A15" s="2" t="s">
        <v>192</v>
      </c>
      <c r="B15" s="2" t="s">
        <v>81</v>
      </c>
      <c r="C15" s="3" t="str">
        <f>_xlfn.XLOOKUP(Table_LuT_Begroting_Deelnemers[[#This Row],[ID Deelnemer]],Table_LuT_Deelnemers[ID Deelnemer],Table_LuT_Deelnemers[Verkorte Referentienaam Deelnemer],"&lt;Not in LuT&gt;",0,1)</f>
        <v>DN14</v>
      </c>
      <c r="D15" s="3" t="str">
        <f>Table_LuT_Begroting_Deelnemers[[#This Row],[ID Deelnemer]]&amp;" # "&amp;Table_LuT_Begroting_Deelnemers[[#This Row],[FO | IO | EO]]</f>
        <v>Deelnemer 14 # FO</v>
      </c>
      <c r="E15" s="3" t="b" cm="1">
        <f t="array" aca="1" ref="E15" ca="1">_xlfn.XLOOKUP(Table_LuT_Begroting_Deelnemers[[#This Row],[ID Deelnemer]],Table_LuT_Deelnemers[ID Deelnemer],INDIRECT("Table_LuT_Deelnemers["&amp;E$1&amp;"]"),"&lt;Not in LuT&gt;",0,1)</f>
        <v>0</v>
      </c>
      <c r="F15" s="3" t="b" cm="1">
        <f t="array" aca="1" ref="F15" ca="1">_xlfn.XLOOKUP(Table_LuT_Begroting_Deelnemers[[#This Row],[ID Deelnemer]],Table_LuT_Deelnemers[ID Deelnemer],INDIRECT("Table_LuT_Deelnemers["&amp;F$1&amp;"]"),"&lt;Not in LuT&gt;",0,1)</f>
        <v>0</v>
      </c>
      <c r="G15" s="3" t="b" cm="1">
        <f t="array" aca="1" ref="G15" ca="1">_xlfn.XLOOKUP(Table_LuT_Begroting_Deelnemers[[#This Row],[ID Deelnemer]],Table_LuT_Deelnemers[ID Deelnemer],INDIRECT("Table_LuT_Deelnemers["&amp;G$1&amp;"]"),"&lt;Not in LuT&gt;",0,1)</f>
        <v>0</v>
      </c>
      <c r="H15" s="3" t="b" cm="1">
        <f t="array" ref="H15">Var_MKB_Consortium</f>
        <v>1</v>
      </c>
      <c r="I15" s="3" t="b">
        <f ca="1">Table_LuT_Begroting_Deelnemers[[#This Row],[Is OO?]]</f>
        <v>0</v>
      </c>
      <c r="J15" s="3" t="str" cm="1">
        <f t="array" aca="1" ref="J15" ca="1">_xlfn.XLOOKUP(Table_LuT_Begroting_Deelnemers[[#This Row],[ID Deelnemer]],Table_LuT_Deelnemers[ID Deelnemer],INDIRECT("Table_LuT_Deelnemers["&amp;J$1&amp;"]"),"&lt;Not in LuT&gt;",0,1)</f>
        <v/>
      </c>
      <c r="K15" s="3" t="str" cm="1">
        <f t="array" aca="1" ref="K15" ca="1">_xlfn.XLOOKUP(Table_LuT_Begroting_Deelnemers[[#This Row],[ID Deelnemer]],Table_LuT_Deelnemers[ID Deelnemer],INDIRECT("Table_LuT_Deelnemers["&amp;K$1&amp;"]"),"&lt;Not in LuT&gt;",0,1)</f>
        <v/>
      </c>
      <c r="L15" s="8" cm="1">
        <f t="array" aca="1" ref="L15" ca="1">INDIRECT("'"&amp;$A15&amp;"'!Kosten_"&amp;Table_LuT_Begroting_Deelnemers[[#This Row],[FO | IO | EO]])</f>
        <v>0</v>
      </c>
      <c r="M15" s="8" cm="1">
        <f t="array" aca="1" ref="M15" ca="1">_xlfn.LET(_xlpm.maxsub_aux,INDIRECT("'"&amp;$A15&amp;"'!Max_Subsidie_"&amp;Table_LuT_Begroting_Deelnemers[[#This Row],[FO | IO | EO]]),IF(Var_Sub.instr.="MKB",IF(Table_LuT_Begroting_Deelnemers[[#This Row],[Is MKB?]],MIN(_xlpm.maxsub_aux,Var_MaxSub_MKB_call_MKB),MIN(_xlpm.maxsub_aux,Var_MaxSub_MKB_call_OO)),_xlpm.maxsub_aux))</f>
        <v>0</v>
      </c>
      <c r="N15" s="8">
        <f ca="1">Table_LuT_Begroting_Deelnemers[[#This Row],[Kosten]]-Table_LuT_Begroting_Deelnemers[[#This Row],[Maximale Subsidie - HTSM]]</f>
        <v>0</v>
      </c>
      <c r="O15" s="387" cm="1">
        <f t="array" aca="1" ref="O15"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15" s="394">
        <f ca="1">Table_LuT_Begroting_Deelnemers[[#This Row],[Maximale Subsidie % - wettelijk]]*Table_LuT_Begroting_Deelnemers[[#This Row],[Kosten]]</f>
        <v>0</v>
      </c>
      <c r="Q15"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1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1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15" s="8">
        <f ca="1">Table_LuT_Begroting_Deelnemers[[#This Row],[Kosten OO]]-Table_LuT_Begroting_Deelnemers[[#This Row],[Maximale Subsidie OO - HTSM]]</f>
        <v>0</v>
      </c>
      <c r="U1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15"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1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1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15" s="8">
        <f ca="1">Table_LuT_Begroting_Deelnemers[[#This Row],[Kosten PP]]-Table_LuT_Begroting_Deelnemers[[#This Row],[Maximale Subsidie PP - HTSM]]</f>
        <v>0</v>
      </c>
      <c r="Z1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15"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1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1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15" s="8">
        <f ca="1">Table_LuT_Begroting_Deelnemers[[#This Row],[Kosten GB]]-Table_LuT_Begroting_Deelnemers[[#This Row],[Maximale Subsidie GB - HTSM]]</f>
        <v>0</v>
      </c>
      <c r="AE1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15"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1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1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15" s="8">
        <f ca="1">Table_LuT_Begroting_Deelnemers[[#This Row],[Kosten MKB]]-Table_LuT_Begroting_Deelnemers[[#This Row],[Maximale Subsidie MKB - HTSM]]</f>
        <v>0</v>
      </c>
      <c r="AJ1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1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15" s="8">
        <f ca="1">MIN(Table_LuT_Begroting_Deelnemers[[#This Row],[Gegenereerde Subsidie - OO+MKB]],Table_LuT_Begroting_Deelnemers[[#This Row],[Maximale Subsidie OO - overheid]])</f>
        <v>0</v>
      </c>
      <c r="AM15" s="8" cm="1">
        <f t="array" aca="1" ref="AM15"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15" s="8" cm="1">
        <f t="array" aca="1" ref="AN15" ca="1">IF(Table_LuT_Begroting_Deelnemers[[#This Row],[FO | IO | EO]]="FO",INDIRECT("Cash_"&amp;Table_LuT_Begroting_Deelnemers[[#This Row],[Verkorte Referentienaam Deelnemer]]),0)</f>
        <v>0</v>
      </c>
      <c r="AO15" s="8" cm="1">
        <f t="array" aca="1" ref="AO15" ca="1">IF(Table_LuT_Begroting_Deelnemers[[#This Row],[FO | IO | EO]]="FO",INDIRECT("Cash_Ontvangen_"&amp;Table_LuT_Begroting_Deelnemers[[#This Row],[Verkorte Referentienaam Deelnemer]]),0)</f>
        <v>0</v>
      </c>
      <c r="AP15" s="8">
        <f ca="1">IF(Table_LuT_Begroting_Deelnemers[[#This Row],[Is OO?]],Table_LuT_Begroting_Deelnemers[[#This Row],[Cash Ontvangen]],0)</f>
        <v>0</v>
      </c>
      <c r="AQ15" s="8" cm="1">
        <f t="array" aca="1" ref="AQ15" ca="1">IF(Table_LuT_Begroting_Deelnemers[[#This Row],[FO | IO | EO]]="FO",INDIRECT("In_kind_"&amp;Table_LuT_Begroting_Deelnemers[[#This Row],[Verkorte Referentienaam Deelnemer]]),0)</f>
        <v>0</v>
      </c>
      <c r="AR15" s="8" cm="1">
        <f t="array" aca="1" ref="AR15" ca="1">IF(Table_LuT_Begroting_Deelnemers[[#This Row],[FO | IO | EO]]="FO",INDIRECT("Overige_Subsidies_"&amp;Table_LuT_Begroting_Deelnemers[[#This Row],[Verkorte Referentienaam Deelnemer]]),0)</f>
        <v>0</v>
      </c>
      <c r="AS15" s="8" cm="1">
        <f t="array" aca="1" ref="AS15" ca="1">IF(Table_LuT_Begroting_Deelnemers[[#This Row],[FO | IO | EO]]="FO",INDIRECT("Subsidie_FO_"&amp;Table_LuT_Begroting_Deelnemers[[#This Row],[Verkorte Referentienaam Deelnemer]]),0)</f>
        <v>0</v>
      </c>
      <c r="AT15" s="8" cm="1">
        <f t="array" aca="1" ref="AT15" ca="1">IF(Table_LuT_Begroting_Deelnemers[[#This Row],[FO | IO | EO]]="IO",INDIRECT("Subsidie_IO_"&amp;Table_LuT_Begroting_Deelnemers[[#This Row],[Verkorte Referentienaam Deelnemer]]),0)</f>
        <v>0</v>
      </c>
      <c r="AU15" s="8" cm="1">
        <f t="array" aca="1" ref="AU15" ca="1">IF(Table_LuT_Begroting_Deelnemers[[#This Row],[FO | IO | EO]]="EO",INDIRECT("Subsidie_EO_"&amp;Table_LuT_Begroting_Deelnemers[[#This Row],[Verkorte Referentienaam Deelnemer]]),0)</f>
        <v>0</v>
      </c>
      <c r="AV15" s="8">
        <f ca="1">SUM(Table_LuT_Begroting_Deelnemers[[#This Row],[Gevraagde Subsidie FO]:[Gevraagde Subsidie EO]])</f>
        <v>0</v>
      </c>
    </row>
    <row r="16" spans="1:48" ht="15" customHeight="1" x14ac:dyDescent="0.25">
      <c r="A16" s="2" t="s">
        <v>193</v>
      </c>
      <c r="B16" s="2" t="s">
        <v>81</v>
      </c>
      <c r="C16" s="3" t="str">
        <f>_xlfn.XLOOKUP(Table_LuT_Begroting_Deelnemers[[#This Row],[ID Deelnemer]],Table_LuT_Deelnemers[ID Deelnemer],Table_LuT_Deelnemers[Verkorte Referentienaam Deelnemer],"&lt;Not in LuT&gt;",0,1)</f>
        <v>DN15</v>
      </c>
      <c r="D16" s="3" t="str">
        <f>Table_LuT_Begroting_Deelnemers[[#This Row],[ID Deelnemer]]&amp;" # "&amp;Table_LuT_Begroting_Deelnemers[[#This Row],[FO | IO | EO]]</f>
        <v>Deelnemer 15 # FO</v>
      </c>
      <c r="E16" s="3" t="b" cm="1">
        <f t="array" aca="1" ref="E16" ca="1">_xlfn.XLOOKUP(Table_LuT_Begroting_Deelnemers[[#This Row],[ID Deelnemer]],Table_LuT_Deelnemers[ID Deelnemer],INDIRECT("Table_LuT_Deelnemers["&amp;E$1&amp;"]"),"&lt;Not in LuT&gt;",0,1)</f>
        <v>0</v>
      </c>
      <c r="F16" s="3" t="b" cm="1">
        <f t="array" aca="1" ref="F16" ca="1">_xlfn.XLOOKUP(Table_LuT_Begroting_Deelnemers[[#This Row],[ID Deelnemer]],Table_LuT_Deelnemers[ID Deelnemer],INDIRECT("Table_LuT_Deelnemers["&amp;F$1&amp;"]"),"&lt;Not in LuT&gt;",0,1)</f>
        <v>0</v>
      </c>
      <c r="G16" s="3" t="b" cm="1">
        <f t="array" aca="1" ref="G16" ca="1">_xlfn.XLOOKUP(Table_LuT_Begroting_Deelnemers[[#This Row],[ID Deelnemer]],Table_LuT_Deelnemers[ID Deelnemer],INDIRECT("Table_LuT_Deelnemers["&amp;G$1&amp;"]"),"&lt;Not in LuT&gt;",0,1)</f>
        <v>0</v>
      </c>
      <c r="H16" s="3" t="b" cm="1">
        <f t="array" ref="H16">Var_MKB_Consortium</f>
        <v>1</v>
      </c>
      <c r="I16" s="3" t="b">
        <f ca="1">Table_LuT_Begroting_Deelnemers[[#This Row],[Is OO?]]</f>
        <v>0</v>
      </c>
      <c r="J16" s="3" t="str" cm="1">
        <f t="array" aca="1" ref="J16" ca="1">_xlfn.XLOOKUP(Table_LuT_Begroting_Deelnemers[[#This Row],[ID Deelnemer]],Table_LuT_Deelnemers[ID Deelnemer],INDIRECT("Table_LuT_Deelnemers["&amp;J$1&amp;"]"),"&lt;Not in LuT&gt;",0,1)</f>
        <v/>
      </c>
      <c r="K16" s="3" t="str" cm="1">
        <f t="array" aca="1" ref="K16" ca="1">_xlfn.XLOOKUP(Table_LuT_Begroting_Deelnemers[[#This Row],[ID Deelnemer]],Table_LuT_Deelnemers[ID Deelnemer],INDIRECT("Table_LuT_Deelnemers["&amp;K$1&amp;"]"),"&lt;Not in LuT&gt;",0,1)</f>
        <v/>
      </c>
      <c r="L16" s="8" cm="1">
        <f t="array" aca="1" ref="L16" ca="1">INDIRECT("'"&amp;$A16&amp;"'!Kosten_"&amp;Table_LuT_Begroting_Deelnemers[[#This Row],[FO | IO | EO]])</f>
        <v>0</v>
      </c>
      <c r="M16" s="8" cm="1">
        <f t="array" aca="1" ref="M16" ca="1">_xlfn.LET(_xlpm.maxsub_aux,INDIRECT("'"&amp;$A16&amp;"'!Max_Subsidie_"&amp;Table_LuT_Begroting_Deelnemers[[#This Row],[FO | IO | EO]]),IF(Var_Sub.instr.="MKB",IF(Table_LuT_Begroting_Deelnemers[[#This Row],[Is MKB?]],MIN(_xlpm.maxsub_aux,Var_MaxSub_MKB_call_MKB),MIN(_xlpm.maxsub_aux,Var_MaxSub_MKB_call_OO)),_xlpm.maxsub_aux))</f>
        <v>0</v>
      </c>
      <c r="N16" s="8">
        <f ca="1">Table_LuT_Begroting_Deelnemers[[#This Row],[Kosten]]-Table_LuT_Begroting_Deelnemers[[#This Row],[Maximale Subsidie - HTSM]]</f>
        <v>0</v>
      </c>
      <c r="O16" s="387" cm="1">
        <f t="array" aca="1" ref="O16"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16" s="394">
        <f ca="1">Table_LuT_Begroting_Deelnemers[[#This Row],[Maximale Subsidie % - wettelijk]]*Table_LuT_Begroting_Deelnemers[[#This Row],[Kosten]]</f>
        <v>0</v>
      </c>
      <c r="Q16"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1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1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16" s="8">
        <f ca="1">Table_LuT_Begroting_Deelnemers[[#This Row],[Kosten OO]]-Table_LuT_Begroting_Deelnemers[[#This Row],[Maximale Subsidie OO - HTSM]]</f>
        <v>0</v>
      </c>
      <c r="U1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16"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1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1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16" s="8">
        <f ca="1">Table_LuT_Begroting_Deelnemers[[#This Row],[Kosten PP]]-Table_LuT_Begroting_Deelnemers[[#This Row],[Maximale Subsidie PP - HTSM]]</f>
        <v>0</v>
      </c>
      <c r="Z1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16"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1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1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16" s="8">
        <f ca="1">Table_LuT_Begroting_Deelnemers[[#This Row],[Kosten GB]]-Table_LuT_Begroting_Deelnemers[[#This Row],[Maximale Subsidie GB - HTSM]]</f>
        <v>0</v>
      </c>
      <c r="AE1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16"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1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1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16" s="8">
        <f ca="1">Table_LuT_Begroting_Deelnemers[[#This Row],[Kosten MKB]]-Table_LuT_Begroting_Deelnemers[[#This Row],[Maximale Subsidie MKB - HTSM]]</f>
        <v>0</v>
      </c>
      <c r="AJ1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1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16" s="8">
        <f ca="1">MIN(Table_LuT_Begroting_Deelnemers[[#This Row],[Gegenereerde Subsidie - OO+MKB]],Table_LuT_Begroting_Deelnemers[[#This Row],[Maximale Subsidie OO - overheid]])</f>
        <v>0</v>
      </c>
      <c r="AM16" s="8" cm="1">
        <f t="array" aca="1" ref="AM16"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16" s="8" cm="1">
        <f t="array" aca="1" ref="AN16" ca="1">IF(Table_LuT_Begroting_Deelnemers[[#This Row],[FO | IO | EO]]="FO",INDIRECT("Cash_"&amp;Table_LuT_Begroting_Deelnemers[[#This Row],[Verkorte Referentienaam Deelnemer]]),0)</f>
        <v>0</v>
      </c>
      <c r="AO16" s="8" cm="1">
        <f t="array" aca="1" ref="AO16" ca="1">IF(Table_LuT_Begroting_Deelnemers[[#This Row],[FO | IO | EO]]="FO",INDIRECT("Cash_Ontvangen_"&amp;Table_LuT_Begroting_Deelnemers[[#This Row],[Verkorte Referentienaam Deelnemer]]),0)</f>
        <v>0</v>
      </c>
      <c r="AP16" s="8">
        <f ca="1">IF(Table_LuT_Begroting_Deelnemers[[#This Row],[Is OO?]],Table_LuT_Begroting_Deelnemers[[#This Row],[Cash Ontvangen]],0)</f>
        <v>0</v>
      </c>
      <c r="AQ16" s="8" cm="1">
        <f t="array" aca="1" ref="AQ16" ca="1">IF(Table_LuT_Begroting_Deelnemers[[#This Row],[FO | IO | EO]]="FO",INDIRECT("In_kind_"&amp;Table_LuT_Begroting_Deelnemers[[#This Row],[Verkorte Referentienaam Deelnemer]]),0)</f>
        <v>0</v>
      </c>
      <c r="AR16" s="8" cm="1">
        <f t="array" aca="1" ref="AR16" ca="1">IF(Table_LuT_Begroting_Deelnemers[[#This Row],[FO | IO | EO]]="FO",INDIRECT("Overige_Subsidies_"&amp;Table_LuT_Begroting_Deelnemers[[#This Row],[Verkorte Referentienaam Deelnemer]]),0)</f>
        <v>0</v>
      </c>
      <c r="AS16" s="8" cm="1">
        <f t="array" aca="1" ref="AS16" ca="1">IF(Table_LuT_Begroting_Deelnemers[[#This Row],[FO | IO | EO]]="FO",INDIRECT("Subsidie_FO_"&amp;Table_LuT_Begroting_Deelnemers[[#This Row],[Verkorte Referentienaam Deelnemer]]),0)</f>
        <v>0</v>
      </c>
      <c r="AT16" s="8" cm="1">
        <f t="array" aca="1" ref="AT16" ca="1">IF(Table_LuT_Begroting_Deelnemers[[#This Row],[FO | IO | EO]]="IO",INDIRECT("Subsidie_IO_"&amp;Table_LuT_Begroting_Deelnemers[[#This Row],[Verkorte Referentienaam Deelnemer]]),0)</f>
        <v>0</v>
      </c>
      <c r="AU16" s="8" cm="1">
        <f t="array" aca="1" ref="AU16" ca="1">IF(Table_LuT_Begroting_Deelnemers[[#This Row],[FO | IO | EO]]="EO",INDIRECT("Subsidie_EO_"&amp;Table_LuT_Begroting_Deelnemers[[#This Row],[Verkorte Referentienaam Deelnemer]]),0)</f>
        <v>0</v>
      </c>
      <c r="AV16" s="8">
        <f ca="1">SUM(Table_LuT_Begroting_Deelnemers[[#This Row],[Gevraagde Subsidie FO]:[Gevraagde Subsidie EO]])</f>
        <v>0</v>
      </c>
    </row>
    <row r="17" spans="1:56" ht="15" customHeight="1" x14ac:dyDescent="0.25">
      <c r="A17" s="2" t="s">
        <v>194</v>
      </c>
      <c r="B17" s="2" t="s">
        <v>81</v>
      </c>
      <c r="C17" s="3" t="str">
        <f>_xlfn.XLOOKUP(Table_LuT_Begroting_Deelnemers[[#This Row],[ID Deelnemer]],Table_LuT_Deelnemers[ID Deelnemer],Table_LuT_Deelnemers[Verkorte Referentienaam Deelnemer],"&lt;Not in LuT&gt;",0,1)</f>
        <v>DN16</v>
      </c>
      <c r="D17" s="3" t="str">
        <f>Table_LuT_Begroting_Deelnemers[[#This Row],[ID Deelnemer]]&amp;" # "&amp;Table_LuT_Begroting_Deelnemers[[#This Row],[FO | IO | EO]]</f>
        <v>Deelnemer 16 # FO</v>
      </c>
      <c r="E17" s="3" t="b" cm="1">
        <f t="array" aca="1" ref="E17" ca="1">_xlfn.XLOOKUP(Table_LuT_Begroting_Deelnemers[[#This Row],[ID Deelnemer]],Table_LuT_Deelnemers[ID Deelnemer],INDIRECT("Table_LuT_Deelnemers["&amp;E$1&amp;"]"),"&lt;Not in LuT&gt;",0,1)</f>
        <v>0</v>
      </c>
      <c r="F17" s="3" t="b" cm="1">
        <f t="array" aca="1" ref="F17" ca="1">_xlfn.XLOOKUP(Table_LuT_Begroting_Deelnemers[[#This Row],[ID Deelnemer]],Table_LuT_Deelnemers[ID Deelnemer],INDIRECT("Table_LuT_Deelnemers["&amp;F$1&amp;"]"),"&lt;Not in LuT&gt;",0,1)</f>
        <v>0</v>
      </c>
      <c r="G17" s="3" t="b" cm="1">
        <f t="array" aca="1" ref="G17" ca="1">_xlfn.XLOOKUP(Table_LuT_Begroting_Deelnemers[[#This Row],[ID Deelnemer]],Table_LuT_Deelnemers[ID Deelnemer],INDIRECT("Table_LuT_Deelnemers["&amp;G$1&amp;"]"),"&lt;Not in LuT&gt;",0,1)</f>
        <v>0</v>
      </c>
      <c r="H17" s="3" t="b" cm="1">
        <f t="array" ref="H17">Var_MKB_Consortium</f>
        <v>1</v>
      </c>
      <c r="I17" s="3" t="b">
        <f ca="1">Table_LuT_Begroting_Deelnemers[[#This Row],[Is OO?]]</f>
        <v>0</v>
      </c>
      <c r="J17" s="3" t="str" cm="1">
        <f t="array" aca="1" ref="J17" ca="1">_xlfn.XLOOKUP(Table_LuT_Begroting_Deelnemers[[#This Row],[ID Deelnemer]],Table_LuT_Deelnemers[ID Deelnemer],INDIRECT("Table_LuT_Deelnemers["&amp;J$1&amp;"]"),"&lt;Not in LuT&gt;",0,1)</f>
        <v/>
      </c>
      <c r="K17" s="3" t="str" cm="1">
        <f t="array" aca="1" ref="K17" ca="1">_xlfn.XLOOKUP(Table_LuT_Begroting_Deelnemers[[#This Row],[ID Deelnemer]],Table_LuT_Deelnemers[ID Deelnemer],INDIRECT("Table_LuT_Deelnemers["&amp;K$1&amp;"]"),"&lt;Not in LuT&gt;",0,1)</f>
        <v/>
      </c>
      <c r="L17" s="8" cm="1">
        <f t="array" aca="1" ref="L17" ca="1">INDIRECT("'"&amp;$A17&amp;"'!Kosten_"&amp;Table_LuT_Begroting_Deelnemers[[#This Row],[FO | IO | EO]])</f>
        <v>0</v>
      </c>
      <c r="M17" s="8" cm="1">
        <f t="array" aca="1" ref="M17" ca="1">_xlfn.LET(_xlpm.maxsub_aux,INDIRECT("'"&amp;$A17&amp;"'!Max_Subsidie_"&amp;Table_LuT_Begroting_Deelnemers[[#This Row],[FO | IO | EO]]),IF(Var_Sub.instr.="MKB",IF(Table_LuT_Begroting_Deelnemers[[#This Row],[Is MKB?]],MIN(_xlpm.maxsub_aux,Var_MaxSub_MKB_call_MKB),MIN(_xlpm.maxsub_aux,Var_MaxSub_MKB_call_OO)),_xlpm.maxsub_aux))</f>
        <v>0</v>
      </c>
      <c r="N17" s="8">
        <f ca="1">Table_LuT_Begroting_Deelnemers[[#This Row],[Kosten]]-Table_LuT_Begroting_Deelnemers[[#This Row],[Maximale Subsidie - HTSM]]</f>
        <v>0</v>
      </c>
      <c r="O17" s="387" cm="1">
        <f t="array" aca="1" ref="O17"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17" s="394">
        <f ca="1">Table_LuT_Begroting_Deelnemers[[#This Row],[Maximale Subsidie % - wettelijk]]*Table_LuT_Begroting_Deelnemers[[#This Row],[Kosten]]</f>
        <v>0</v>
      </c>
      <c r="Q17"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1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1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17" s="8">
        <f ca="1">Table_LuT_Begroting_Deelnemers[[#This Row],[Kosten OO]]-Table_LuT_Begroting_Deelnemers[[#This Row],[Maximale Subsidie OO - HTSM]]</f>
        <v>0</v>
      </c>
      <c r="U1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17"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1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1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17" s="8">
        <f ca="1">Table_LuT_Begroting_Deelnemers[[#This Row],[Kosten PP]]-Table_LuT_Begroting_Deelnemers[[#This Row],[Maximale Subsidie PP - HTSM]]</f>
        <v>0</v>
      </c>
      <c r="Z1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17"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1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1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17" s="8">
        <f ca="1">Table_LuT_Begroting_Deelnemers[[#This Row],[Kosten GB]]-Table_LuT_Begroting_Deelnemers[[#This Row],[Maximale Subsidie GB - HTSM]]</f>
        <v>0</v>
      </c>
      <c r="AE1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17"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1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1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17" s="8">
        <f ca="1">Table_LuT_Begroting_Deelnemers[[#This Row],[Kosten MKB]]-Table_LuT_Begroting_Deelnemers[[#This Row],[Maximale Subsidie MKB - HTSM]]</f>
        <v>0</v>
      </c>
      <c r="AJ1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1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17" s="8">
        <f ca="1">MIN(Table_LuT_Begroting_Deelnemers[[#This Row],[Gegenereerde Subsidie - OO+MKB]],Table_LuT_Begroting_Deelnemers[[#This Row],[Maximale Subsidie OO - overheid]])</f>
        <v>0</v>
      </c>
      <c r="AM17" s="8" cm="1">
        <f t="array" aca="1" ref="AM17"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17" s="8" cm="1">
        <f t="array" aca="1" ref="AN17" ca="1">IF(Table_LuT_Begroting_Deelnemers[[#This Row],[FO | IO | EO]]="FO",INDIRECT("Cash_"&amp;Table_LuT_Begroting_Deelnemers[[#This Row],[Verkorte Referentienaam Deelnemer]]),0)</f>
        <v>0</v>
      </c>
      <c r="AO17" s="8" cm="1">
        <f t="array" aca="1" ref="AO17" ca="1">IF(Table_LuT_Begroting_Deelnemers[[#This Row],[FO | IO | EO]]="FO",INDIRECT("Cash_Ontvangen_"&amp;Table_LuT_Begroting_Deelnemers[[#This Row],[Verkorte Referentienaam Deelnemer]]),0)</f>
        <v>0</v>
      </c>
      <c r="AP17" s="8">
        <f ca="1">IF(Table_LuT_Begroting_Deelnemers[[#This Row],[Is OO?]],Table_LuT_Begroting_Deelnemers[[#This Row],[Cash Ontvangen]],0)</f>
        <v>0</v>
      </c>
      <c r="AQ17" s="8" cm="1">
        <f t="array" aca="1" ref="AQ17" ca="1">IF(Table_LuT_Begroting_Deelnemers[[#This Row],[FO | IO | EO]]="FO",INDIRECT("In_kind_"&amp;Table_LuT_Begroting_Deelnemers[[#This Row],[Verkorte Referentienaam Deelnemer]]),0)</f>
        <v>0</v>
      </c>
      <c r="AR17" s="8" cm="1">
        <f t="array" aca="1" ref="AR17" ca="1">IF(Table_LuT_Begroting_Deelnemers[[#This Row],[FO | IO | EO]]="FO",INDIRECT("Overige_Subsidies_"&amp;Table_LuT_Begroting_Deelnemers[[#This Row],[Verkorte Referentienaam Deelnemer]]),0)</f>
        <v>0</v>
      </c>
      <c r="AS17" s="8" cm="1">
        <f t="array" aca="1" ref="AS17" ca="1">IF(Table_LuT_Begroting_Deelnemers[[#This Row],[FO | IO | EO]]="FO",INDIRECT("Subsidie_FO_"&amp;Table_LuT_Begroting_Deelnemers[[#This Row],[Verkorte Referentienaam Deelnemer]]),0)</f>
        <v>0</v>
      </c>
      <c r="AT17" s="8" cm="1">
        <f t="array" aca="1" ref="AT17" ca="1">IF(Table_LuT_Begroting_Deelnemers[[#This Row],[FO | IO | EO]]="IO",INDIRECT("Subsidie_IO_"&amp;Table_LuT_Begroting_Deelnemers[[#This Row],[Verkorte Referentienaam Deelnemer]]),0)</f>
        <v>0</v>
      </c>
      <c r="AU17" s="8" cm="1">
        <f t="array" aca="1" ref="AU17" ca="1">IF(Table_LuT_Begroting_Deelnemers[[#This Row],[FO | IO | EO]]="EO",INDIRECT("Subsidie_EO_"&amp;Table_LuT_Begroting_Deelnemers[[#This Row],[Verkorte Referentienaam Deelnemer]]),0)</f>
        <v>0</v>
      </c>
      <c r="AV17" s="8">
        <f ca="1">SUM(Table_LuT_Begroting_Deelnemers[[#This Row],[Gevraagde Subsidie FO]:[Gevraagde Subsidie EO]])</f>
        <v>0</v>
      </c>
    </row>
    <row r="18" spans="1:56" ht="15" customHeight="1" x14ac:dyDescent="0.25">
      <c r="A18" s="2" t="s">
        <v>195</v>
      </c>
      <c r="B18" s="2" t="s">
        <v>81</v>
      </c>
      <c r="C18" s="3" t="str">
        <f>_xlfn.XLOOKUP(Table_LuT_Begroting_Deelnemers[[#This Row],[ID Deelnemer]],Table_LuT_Deelnemers[ID Deelnemer],Table_LuT_Deelnemers[Verkorte Referentienaam Deelnemer],"&lt;Not in LuT&gt;",0,1)</f>
        <v>DN17</v>
      </c>
      <c r="D18" s="3" t="str">
        <f>Table_LuT_Begroting_Deelnemers[[#This Row],[ID Deelnemer]]&amp;" # "&amp;Table_LuT_Begroting_Deelnemers[[#This Row],[FO | IO | EO]]</f>
        <v>Deelnemer 17 # FO</v>
      </c>
      <c r="E18" s="3" t="b" cm="1">
        <f t="array" aca="1" ref="E18" ca="1">_xlfn.XLOOKUP(Table_LuT_Begroting_Deelnemers[[#This Row],[ID Deelnemer]],Table_LuT_Deelnemers[ID Deelnemer],INDIRECT("Table_LuT_Deelnemers["&amp;E$1&amp;"]"),"&lt;Not in LuT&gt;",0,1)</f>
        <v>0</v>
      </c>
      <c r="F18" s="3" t="b" cm="1">
        <f t="array" aca="1" ref="F18" ca="1">_xlfn.XLOOKUP(Table_LuT_Begroting_Deelnemers[[#This Row],[ID Deelnemer]],Table_LuT_Deelnemers[ID Deelnemer],INDIRECT("Table_LuT_Deelnemers["&amp;F$1&amp;"]"),"&lt;Not in LuT&gt;",0,1)</f>
        <v>0</v>
      </c>
      <c r="G18" s="3" t="b" cm="1">
        <f t="array" aca="1" ref="G18" ca="1">_xlfn.XLOOKUP(Table_LuT_Begroting_Deelnemers[[#This Row],[ID Deelnemer]],Table_LuT_Deelnemers[ID Deelnemer],INDIRECT("Table_LuT_Deelnemers["&amp;G$1&amp;"]"),"&lt;Not in LuT&gt;",0,1)</f>
        <v>0</v>
      </c>
      <c r="H18" s="3" t="b" cm="1">
        <f t="array" ref="H18">Var_MKB_Consortium</f>
        <v>1</v>
      </c>
      <c r="I18" s="3" t="b">
        <f ca="1">Table_LuT_Begroting_Deelnemers[[#This Row],[Is OO?]]</f>
        <v>0</v>
      </c>
      <c r="J18" s="3" t="str" cm="1">
        <f t="array" aca="1" ref="J18" ca="1">_xlfn.XLOOKUP(Table_LuT_Begroting_Deelnemers[[#This Row],[ID Deelnemer]],Table_LuT_Deelnemers[ID Deelnemer],INDIRECT("Table_LuT_Deelnemers["&amp;J$1&amp;"]"),"&lt;Not in LuT&gt;",0,1)</f>
        <v/>
      </c>
      <c r="K18" s="3" t="str" cm="1">
        <f t="array" aca="1" ref="K18" ca="1">_xlfn.XLOOKUP(Table_LuT_Begroting_Deelnemers[[#This Row],[ID Deelnemer]],Table_LuT_Deelnemers[ID Deelnemer],INDIRECT("Table_LuT_Deelnemers["&amp;K$1&amp;"]"),"&lt;Not in LuT&gt;",0,1)</f>
        <v/>
      </c>
      <c r="L18" s="8" cm="1">
        <f t="array" aca="1" ref="L18" ca="1">INDIRECT("'"&amp;$A18&amp;"'!Kosten_"&amp;Table_LuT_Begroting_Deelnemers[[#This Row],[FO | IO | EO]])</f>
        <v>0</v>
      </c>
      <c r="M18" s="8" cm="1">
        <f t="array" aca="1" ref="M18" ca="1">_xlfn.LET(_xlpm.maxsub_aux,INDIRECT("'"&amp;$A18&amp;"'!Max_Subsidie_"&amp;Table_LuT_Begroting_Deelnemers[[#This Row],[FO | IO | EO]]),IF(Var_Sub.instr.="MKB",IF(Table_LuT_Begroting_Deelnemers[[#This Row],[Is MKB?]],MIN(_xlpm.maxsub_aux,Var_MaxSub_MKB_call_MKB),MIN(_xlpm.maxsub_aux,Var_MaxSub_MKB_call_OO)),_xlpm.maxsub_aux))</f>
        <v>0</v>
      </c>
      <c r="N18" s="8">
        <f ca="1">Table_LuT_Begroting_Deelnemers[[#This Row],[Kosten]]-Table_LuT_Begroting_Deelnemers[[#This Row],[Maximale Subsidie - HTSM]]</f>
        <v>0</v>
      </c>
      <c r="O18" s="387" cm="1">
        <f t="array" aca="1" ref="O18"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18" s="394">
        <f ca="1">Table_LuT_Begroting_Deelnemers[[#This Row],[Maximale Subsidie % - wettelijk]]*Table_LuT_Begroting_Deelnemers[[#This Row],[Kosten]]</f>
        <v>0</v>
      </c>
      <c r="Q18"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1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1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18" s="8">
        <f ca="1">Table_LuT_Begroting_Deelnemers[[#This Row],[Kosten OO]]-Table_LuT_Begroting_Deelnemers[[#This Row],[Maximale Subsidie OO - HTSM]]</f>
        <v>0</v>
      </c>
      <c r="U1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18"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1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1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18" s="8">
        <f ca="1">Table_LuT_Begroting_Deelnemers[[#This Row],[Kosten PP]]-Table_LuT_Begroting_Deelnemers[[#This Row],[Maximale Subsidie PP - HTSM]]</f>
        <v>0</v>
      </c>
      <c r="Z1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18"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1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1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18" s="8">
        <f ca="1">Table_LuT_Begroting_Deelnemers[[#This Row],[Kosten GB]]-Table_LuT_Begroting_Deelnemers[[#This Row],[Maximale Subsidie GB - HTSM]]</f>
        <v>0</v>
      </c>
      <c r="AE1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18"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1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1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18" s="8">
        <f ca="1">Table_LuT_Begroting_Deelnemers[[#This Row],[Kosten MKB]]-Table_LuT_Begroting_Deelnemers[[#This Row],[Maximale Subsidie MKB - HTSM]]</f>
        <v>0</v>
      </c>
      <c r="AJ1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1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18" s="8">
        <f ca="1">MIN(Table_LuT_Begroting_Deelnemers[[#This Row],[Gegenereerde Subsidie - OO+MKB]],Table_LuT_Begroting_Deelnemers[[#This Row],[Maximale Subsidie OO - overheid]])</f>
        <v>0</v>
      </c>
      <c r="AM18" s="8" cm="1">
        <f t="array" aca="1" ref="AM18"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18" s="8" cm="1">
        <f t="array" aca="1" ref="AN18" ca="1">IF(Table_LuT_Begroting_Deelnemers[[#This Row],[FO | IO | EO]]="FO",INDIRECT("Cash_"&amp;Table_LuT_Begroting_Deelnemers[[#This Row],[Verkorte Referentienaam Deelnemer]]),0)</f>
        <v>0</v>
      </c>
      <c r="AO18" s="8" cm="1">
        <f t="array" aca="1" ref="AO18" ca="1">IF(Table_LuT_Begroting_Deelnemers[[#This Row],[FO | IO | EO]]="FO",INDIRECT("Cash_Ontvangen_"&amp;Table_LuT_Begroting_Deelnemers[[#This Row],[Verkorte Referentienaam Deelnemer]]),0)</f>
        <v>0</v>
      </c>
      <c r="AP18" s="8">
        <f ca="1">IF(Table_LuT_Begroting_Deelnemers[[#This Row],[Is OO?]],Table_LuT_Begroting_Deelnemers[[#This Row],[Cash Ontvangen]],0)</f>
        <v>0</v>
      </c>
      <c r="AQ18" s="8" cm="1">
        <f t="array" aca="1" ref="AQ18" ca="1">IF(Table_LuT_Begroting_Deelnemers[[#This Row],[FO | IO | EO]]="FO",INDIRECT("In_kind_"&amp;Table_LuT_Begroting_Deelnemers[[#This Row],[Verkorte Referentienaam Deelnemer]]),0)</f>
        <v>0</v>
      </c>
      <c r="AR18" s="8" cm="1">
        <f t="array" aca="1" ref="AR18" ca="1">IF(Table_LuT_Begroting_Deelnemers[[#This Row],[FO | IO | EO]]="FO",INDIRECT("Overige_Subsidies_"&amp;Table_LuT_Begroting_Deelnemers[[#This Row],[Verkorte Referentienaam Deelnemer]]),0)</f>
        <v>0</v>
      </c>
      <c r="AS18" s="8" cm="1">
        <f t="array" aca="1" ref="AS18" ca="1">IF(Table_LuT_Begroting_Deelnemers[[#This Row],[FO | IO | EO]]="FO",INDIRECT("Subsidie_FO_"&amp;Table_LuT_Begroting_Deelnemers[[#This Row],[Verkorte Referentienaam Deelnemer]]),0)</f>
        <v>0</v>
      </c>
      <c r="AT18" s="8" cm="1">
        <f t="array" aca="1" ref="AT18" ca="1">IF(Table_LuT_Begroting_Deelnemers[[#This Row],[FO | IO | EO]]="IO",INDIRECT("Subsidie_IO_"&amp;Table_LuT_Begroting_Deelnemers[[#This Row],[Verkorte Referentienaam Deelnemer]]),0)</f>
        <v>0</v>
      </c>
      <c r="AU18" s="8" cm="1">
        <f t="array" aca="1" ref="AU18" ca="1">IF(Table_LuT_Begroting_Deelnemers[[#This Row],[FO | IO | EO]]="EO",INDIRECT("Subsidie_EO_"&amp;Table_LuT_Begroting_Deelnemers[[#This Row],[Verkorte Referentienaam Deelnemer]]),0)</f>
        <v>0</v>
      </c>
      <c r="AV18" s="8">
        <f ca="1">SUM(Table_LuT_Begroting_Deelnemers[[#This Row],[Gevraagde Subsidie FO]:[Gevraagde Subsidie EO]])</f>
        <v>0</v>
      </c>
    </row>
    <row r="19" spans="1:56" ht="15" customHeight="1" x14ac:dyDescent="0.25">
      <c r="A19" s="2" t="s">
        <v>196</v>
      </c>
      <c r="B19" s="2" t="s">
        <v>81</v>
      </c>
      <c r="C19" s="3" t="str">
        <f>_xlfn.XLOOKUP(Table_LuT_Begroting_Deelnemers[[#This Row],[ID Deelnemer]],Table_LuT_Deelnemers[ID Deelnemer],Table_LuT_Deelnemers[Verkorte Referentienaam Deelnemer],"&lt;Not in LuT&gt;",0,1)</f>
        <v>DN18</v>
      </c>
      <c r="D19" s="3" t="str">
        <f>Table_LuT_Begroting_Deelnemers[[#This Row],[ID Deelnemer]]&amp;" # "&amp;Table_LuT_Begroting_Deelnemers[[#This Row],[FO | IO | EO]]</f>
        <v>Deelnemer 18 # FO</v>
      </c>
      <c r="E19" s="3" t="b" cm="1">
        <f t="array" aca="1" ref="E19" ca="1">_xlfn.XLOOKUP(Table_LuT_Begroting_Deelnemers[[#This Row],[ID Deelnemer]],Table_LuT_Deelnemers[ID Deelnemer],INDIRECT("Table_LuT_Deelnemers["&amp;E$1&amp;"]"),"&lt;Not in LuT&gt;",0,1)</f>
        <v>0</v>
      </c>
      <c r="F19" s="3" t="b" cm="1">
        <f t="array" aca="1" ref="F19" ca="1">_xlfn.XLOOKUP(Table_LuT_Begroting_Deelnemers[[#This Row],[ID Deelnemer]],Table_LuT_Deelnemers[ID Deelnemer],INDIRECT("Table_LuT_Deelnemers["&amp;F$1&amp;"]"),"&lt;Not in LuT&gt;",0,1)</f>
        <v>0</v>
      </c>
      <c r="G19" s="3" t="b" cm="1">
        <f t="array" aca="1" ref="G19" ca="1">_xlfn.XLOOKUP(Table_LuT_Begroting_Deelnemers[[#This Row],[ID Deelnemer]],Table_LuT_Deelnemers[ID Deelnemer],INDIRECT("Table_LuT_Deelnemers["&amp;G$1&amp;"]"),"&lt;Not in LuT&gt;",0,1)</f>
        <v>0</v>
      </c>
      <c r="H19" s="3" t="b" cm="1">
        <f t="array" ref="H19">Var_MKB_Consortium</f>
        <v>1</v>
      </c>
      <c r="I19" s="3" t="b">
        <f ca="1">Table_LuT_Begroting_Deelnemers[[#This Row],[Is OO?]]</f>
        <v>0</v>
      </c>
      <c r="J19" s="3" t="str" cm="1">
        <f t="array" aca="1" ref="J19" ca="1">_xlfn.XLOOKUP(Table_LuT_Begroting_Deelnemers[[#This Row],[ID Deelnemer]],Table_LuT_Deelnemers[ID Deelnemer],INDIRECT("Table_LuT_Deelnemers["&amp;J$1&amp;"]"),"&lt;Not in LuT&gt;",0,1)</f>
        <v/>
      </c>
      <c r="K19" s="3" t="str" cm="1">
        <f t="array" aca="1" ref="K19" ca="1">_xlfn.XLOOKUP(Table_LuT_Begroting_Deelnemers[[#This Row],[ID Deelnemer]],Table_LuT_Deelnemers[ID Deelnemer],INDIRECT("Table_LuT_Deelnemers["&amp;K$1&amp;"]"),"&lt;Not in LuT&gt;",0,1)</f>
        <v/>
      </c>
      <c r="L19" s="8" cm="1">
        <f t="array" aca="1" ref="L19" ca="1">INDIRECT("'"&amp;$A19&amp;"'!Kosten_"&amp;Table_LuT_Begroting_Deelnemers[[#This Row],[FO | IO | EO]])</f>
        <v>0</v>
      </c>
      <c r="M19" s="8" cm="1">
        <f t="array" aca="1" ref="M19" ca="1">_xlfn.LET(_xlpm.maxsub_aux,INDIRECT("'"&amp;$A19&amp;"'!Max_Subsidie_"&amp;Table_LuT_Begroting_Deelnemers[[#This Row],[FO | IO | EO]]),IF(Var_Sub.instr.="MKB",IF(Table_LuT_Begroting_Deelnemers[[#This Row],[Is MKB?]],MIN(_xlpm.maxsub_aux,Var_MaxSub_MKB_call_MKB),MIN(_xlpm.maxsub_aux,Var_MaxSub_MKB_call_OO)),_xlpm.maxsub_aux))</f>
        <v>0</v>
      </c>
      <c r="N19" s="8">
        <f ca="1">Table_LuT_Begroting_Deelnemers[[#This Row],[Kosten]]-Table_LuT_Begroting_Deelnemers[[#This Row],[Maximale Subsidie - HTSM]]</f>
        <v>0</v>
      </c>
      <c r="O19" s="387" cm="1">
        <f t="array" aca="1" ref="O19"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19" s="394">
        <f ca="1">Table_LuT_Begroting_Deelnemers[[#This Row],[Maximale Subsidie % - wettelijk]]*Table_LuT_Begroting_Deelnemers[[#This Row],[Kosten]]</f>
        <v>0</v>
      </c>
      <c r="Q19"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1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1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19" s="8">
        <f ca="1">Table_LuT_Begroting_Deelnemers[[#This Row],[Kosten OO]]-Table_LuT_Begroting_Deelnemers[[#This Row],[Maximale Subsidie OO - HTSM]]</f>
        <v>0</v>
      </c>
      <c r="U1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19"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1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1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19" s="8">
        <f ca="1">Table_LuT_Begroting_Deelnemers[[#This Row],[Kosten PP]]-Table_LuT_Begroting_Deelnemers[[#This Row],[Maximale Subsidie PP - HTSM]]</f>
        <v>0</v>
      </c>
      <c r="Z1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19"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1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1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19" s="8">
        <f ca="1">Table_LuT_Begroting_Deelnemers[[#This Row],[Kosten GB]]-Table_LuT_Begroting_Deelnemers[[#This Row],[Maximale Subsidie GB - HTSM]]</f>
        <v>0</v>
      </c>
      <c r="AE1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19"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1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1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19" s="8">
        <f ca="1">Table_LuT_Begroting_Deelnemers[[#This Row],[Kosten MKB]]-Table_LuT_Begroting_Deelnemers[[#This Row],[Maximale Subsidie MKB - HTSM]]</f>
        <v>0</v>
      </c>
      <c r="AJ1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1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19" s="8">
        <f ca="1">MIN(Table_LuT_Begroting_Deelnemers[[#This Row],[Gegenereerde Subsidie - OO+MKB]],Table_LuT_Begroting_Deelnemers[[#This Row],[Maximale Subsidie OO - overheid]])</f>
        <v>0</v>
      </c>
      <c r="AM19" s="8" cm="1">
        <f t="array" aca="1" ref="AM19"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19" s="8" cm="1">
        <f t="array" aca="1" ref="AN19" ca="1">IF(Table_LuT_Begroting_Deelnemers[[#This Row],[FO | IO | EO]]="FO",INDIRECT("Cash_"&amp;Table_LuT_Begroting_Deelnemers[[#This Row],[Verkorte Referentienaam Deelnemer]]),0)</f>
        <v>0</v>
      </c>
      <c r="AO19" s="8" cm="1">
        <f t="array" aca="1" ref="AO19" ca="1">IF(Table_LuT_Begroting_Deelnemers[[#This Row],[FO | IO | EO]]="FO",INDIRECT("Cash_Ontvangen_"&amp;Table_LuT_Begroting_Deelnemers[[#This Row],[Verkorte Referentienaam Deelnemer]]),0)</f>
        <v>0</v>
      </c>
      <c r="AP19" s="8">
        <f ca="1">IF(Table_LuT_Begroting_Deelnemers[[#This Row],[Is OO?]],Table_LuT_Begroting_Deelnemers[[#This Row],[Cash Ontvangen]],0)</f>
        <v>0</v>
      </c>
      <c r="AQ19" s="8" cm="1">
        <f t="array" aca="1" ref="AQ19" ca="1">IF(Table_LuT_Begroting_Deelnemers[[#This Row],[FO | IO | EO]]="FO",INDIRECT("In_kind_"&amp;Table_LuT_Begroting_Deelnemers[[#This Row],[Verkorte Referentienaam Deelnemer]]),0)</f>
        <v>0</v>
      </c>
      <c r="AR19" s="8" cm="1">
        <f t="array" aca="1" ref="AR19" ca="1">IF(Table_LuT_Begroting_Deelnemers[[#This Row],[FO | IO | EO]]="FO",INDIRECT("Overige_Subsidies_"&amp;Table_LuT_Begroting_Deelnemers[[#This Row],[Verkorte Referentienaam Deelnemer]]),0)</f>
        <v>0</v>
      </c>
      <c r="AS19" s="8" cm="1">
        <f t="array" aca="1" ref="AS19" ca="1">IF(Table_LuT_Begroting_Deelnemers[[#This Row],[FO | IO | EO]]="FO",INDIRECT("Subsidie_FO_"&amp;Table_LuT_Begroting_Deelnemers[[#This Row],[Verkorte Referentienaam Deelnemer]]),0)</f>
        <v>0</v>
      </c>
      <c r="AT19" s="8" cm="1">
        <f t="array" aca="1" ref="AT19" ca="1">IF(Table_LuT_Begroting_Deelnemers[[#This Row],[FO | IO | EO]]="IO",INDIRECT("Subsidie_IO_"&amp;Table_LuT_Begroting_Deelnemers[[#This Row],[Verkorte Referentienaam Deelnemer]]),0)</f>
        <v>0</v>
      </c>
      <c r="AU19" s="8" cm="1">
        <f t="array" aca="1" ref="AU19" ca="1">IF(Table_LuT_Begroting_Deelnemers[[#This Row],[FO | IO | EO]]="EO",INDIRECT("Subsidie_EO_"&amp;Table_LuT_Begroting_Deelnemers[[#This Row],[Verkorte Referentienaam Deelnemer]]),0)</f>
        <v>0</v>
      </c>
      <c r="AV19" s="8">
        <f ca="1">SUM(Table_LuT_Begroting_Deelnemers[[#This Row],[Gevraagde Subsidie FO]:[Gevraagde Subsidie EO]])</f>
        <v>0</v>
      </c>
    </row>
    <row r="20" spans="1:56" ht="15" customHeight="1" x14ac:dyDescent="0.25">
      <c r="A20" s="2" t="s">
        <v>197</v>
      </c>
      <c r="B20" s="2" t="s">
        <v>81</v>
      </c>
      <c r="C20" s="3" t="str">
        <f>_xlfn.XLOOKUP(Table_LuT_Begroting_Deelnemers[[#This Row],[ID Deelnemer]],Table_LuT_Deelnemers[ID Deelnemer],Table_LuT_Deelnemers[Verkorte Referentienaam Deelnemer],"&lt;Not in LuT&gt;",0,1)</f>
        <v>DN19</v>
      </c>
      <c r="D20" s="3" t="str">
        <f>Table_LuT_Begroting_Deelnemers[[#This Row],[ID Deelnemer]]&amp;" # "&amp;Table_LuT_Begroting_Deelnemers[[#This Row],[FO | IO | EO]]</f>
        <v>Deelnemer 19 # FO</v>
      </c>
      <c r="E20" s="3" t="b" cm="1">
        <f t="array" aca="1" ref="E20" ca="1">_xlfn.XLOOKUP(Table_LuT_Begroting_Deelnemers[[#This Row],[ID Deelnemer]],Table_LuT_Deelnemers[ID Deelnemer],INDIRECT("Table_LuT_Deelnemers["&amp;E$1&amp;"]"),"&lt;Not in LuT&gt;",0,1)</f>
        <v>0</v>
      </c>
      <c r="F20" s="3" t="b" cm="1">
        <f t="array" aca="1" ref="F20" ca="1">_xlfn.XLOOKUP(Table_LuT_Begroting_Deelnemers[[#This Row],[ID Deelnemer]],Table_LuT_Deelnemers[ID Deelnemer],INDIRECT("Table_LuT_Deelnemers["&amp;F$1&amp;"]"),"&lt;Not in LuT&gt;",0,1)</f>
        <v>0</v>
      </c>
      <c r="G20" s="3" t="b" cm="1">
        <f t="array" aca="1" ref="G20" ca="1">_xlfn.XLOOKUP(Table_LuT_Begroting_Deelnemers[[#This Row],[ID Deelnemer]],Table_LuT_Deelnemers[ID Deelnemer],INDIRECT("Table_LuT_Deelnemers["&amp;G$1&amp;"]"),"&lt;Not in LuT&gt;",0,1)</f>
        <v>0</v>
      </c>
      <c r="H20" s="3" t="b" cm="1">
        <f t="array" ref="H20">Var_MKB_Consortium</f>
        <v>1</v>
      </c>
      <c r="I20" s="3" t="b">
        <f ca="1">Table_LuT_Begroting_Deelnemers[[#This Row],[Is OO?]]</f>
        <v>0</v>
      </c>
      <c r="J20" s="3" t="str" cm="1">
        <f t="array" aca="1" ref="J20" ca="1">_xlfn.XLOOKUP(Table_LuT_Begroting_Deelnemers[[#This Row],[ID Deelnemer]],Table_LuT_Deelnemers[ID Deelnemer],INDIRECT("Table_LuT_Deelnemers["&amp;J$1&amp;"]"),"&lt;Not in LuT&gt;",0,1)</f>
        <v/>
      </c>
      <c r="K20" s="3" t="str" cm="1">
        <f t="array" aca="1" ref="K20" ca="1">_xlfn.XLOOKUP(Table_LuT_Begroting_Deelnemers[[#This Row],[ID Deelnemer]],Table_LuT_Deelnemers[ID Deelnemer],INDIRECT("Table_LuT_Deelnemers["&amp;K$1&amp;"]"),"&lt;Not in LuT&gt;",0,1)</f>
        <v/>
      </c>
      <c r="L20" s="8" cm="1">
        <f t="array" aca="1" ref="L20" ca="1">INDIRECT("'"&amp;$A20&amp;"'!Kosten_"&amp;Table_LuT_Begroting_Deelnemers[[#This Row],[FO | IO | EO]])</f>
        <v>0</v>
      </c>
      <c r="M20" s="8" cm="1">
        <f t="array" aca="1" ref="M20" ca="1">_xlfn.LET(_xlpm.maxsub_aux,INDIRECT("'"&amp;$A20&amp;"'!Max_Subsidie_"&amp;Table_LuT_Begroting_Deelnemers[[#This Row],[FO | IO | EO]]),IF(Var_Sub.instr.="MKB",IF(Table_LuT_Begroting_Deelnemers[[#This Row],[Is MKB?]],MIN(_xlpm.maxsub_aux,Var_MaxSub_MKB_call_MKB),MIN(_xlpm.maxsub_aux,Var_MaxSub_MKB_call_OO)),_xlpm.maxsub_aux))</f>
        <v>0</v>
      </c>
      <c r="N20" s="8">
        <f ca="1">Table_LuT_Begroting_Deelnemers[[#This Row],[Kosten]]-Table_LuT_Begroting_Deelnemers[[#This Row],[Maximale Subsidie - HTSM]]</f>
        <v>0</v>
      </c>
      <c r="O20" s="387" cm="1">
        <f t="array" aca="1" ref="O20"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20" s="394">
        <f ca="1">Table_LuT_Begroting_Deelnemers[[#This Row],[Maximale Subsidie % - wettelijk]]*Table_LuT_Begroting_Deelnemers[[#This Row],[Kosten]]</f>
        <v>0</v>
      </c>
      <c r="Q20"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2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2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20" s="8">
        <f ca="1">Table_LuT_Begroting_Deelnemers[[#This Row],[Kosten OO]]-Table_LuT_Begroting_Deelnemers[[#This Row],[Maximale Subsidie OO - HTSM]]</f>
        <v>0</v>
      </c>
      <c r="U2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20"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2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2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20" s="8">
        <f ca="1">Table_LuT_Begroting_Deelnemers[[#This Row],[Kosten PP]]-Table_LuT_Begroting_Deelnemers[[#This Row],[Maximale Subsidie PP - HTSM]]</f>
        <v>0</v>
      </c>
      <c r="Z2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20"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2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2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20" s="8">
        <f ca="1">Table_LuT_Begroting_Deelnemers[[#This Row],[Kosten GB]]-Table_LuT_Begroting_Deelnemers[[#This Row],[Maximale Subsidie GB - HTSM]]</f>
        <v>0</v>
      </c>
      <c r="AE2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20"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2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2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20" s="8">
        <f ca="1">Table_LuT_Begroting_Deelnemers[[#This Row],[Kosten MKB]]-Table_LuT_Begroting_Deelnemers[[#This Row],[Maximale Subsidie MKB - HTSM]]</f>
        <v>0</v>
      </c>
      <c r="AJ2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2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20" s="8">
        <f ca="1">MIN(Table_LuT_Begroting_Deelnemers[[#This Row],[Gegenereerde Subsidie - OO+MKB]],Table_LuT_Begroting_Deelnemers[[#This Row],[Maximale Subsidie OO - overheid]])</f>
        <v>0</v>
      </c>
      <c r="AM20" s="8" cm="1">
        <f t="array" aca="1" ref="AM20"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20" s="8" cm="1">
        <f t="array" aca="1" ref="AN20" ca="1">IF(Table_LuT_Begroting_Deelnemers[[#This Row],[FO | IO | EO]]="FO",INDIRECT("Cash_"&amp;Table_LuT_Begroting_Deelnemers[[#This Row],[Verkorte Referentienaam Deelnemer]]),0)</f>
        <v>0</v>
      </c>
      <c r="AO20" s="8" cm="1">
        <f t="array" aca="1" ref="AO20" ca="1">IF(Table_LuT_Begroting_Deelnemers[[#This Row],[FO | IO | EO]]="FO",INDIRECT("Cash_Ontvangen_"&amp;Table_LuT_Begroting_Deelnemers[[#This Row],[Verkorte Referentienaam Deelnemer]]),0)</f>
        <v>0</v>
      </c>
      <c r="AP20" s="8">
        <f ca="1">IF(Table_LuT_Begroting_Deelnemers[[#This Row],[Is OO?]],Table_LuT_Begroting_Deelnemers[[#This Row],[Cash Ontvangen]],0)</f>
        <v>0</v>
      </c>
      <c r="AQ20" s="8" cm="1">
        <f t="array" aca="1" ref="AQ20" ca="1">IF(Table_LuT_Begroting_Deelnemers[[#This Row],[FO | IO | EO]]="FO",INDIRECT("In_kind_"&amp;Table_LuT_Begroting_Deelnemers[[#This Row],[Verkorte Referentienaam Deelnemer]]),0)</f>
        <v>0</v>
      </c>
      <c r="AR20" s="8" cm="1">
        <f t="array" aca="1" ref="AR20" ca="1">IF(Table_LuT_Begroting_Deelnemers[[#This Row],[FO | IO | EO]]="FO",INDIRECT("Overige_Subsidies_"&amp;Table_LuT_Begroting_Deelnemers[[#This Row],[Verkorte Referentienaam Deelnemer]]),0)</f>
        <v>0</v>
      </c>
      <c r="AS20" s="8" cm="1">
        <f t="array" aca="1" ref="AS20" ca="1">IF(Table_LuT_Begroting_Deelnemers[[#This Row],[FO | IO | EO]]="FO",INDIRECT("Subsidie_FO_"&amp;Table_LuT_Begroting_Deelnemers[[#This Row],[Verkorte Referentienaam Deelnemer]]),0)</f>
        <v>0</v>
      </c>
      <c r="AT20" s="8" cm="1">
        <f t="array" aca="1" ref="AT20" ca="1">IF(Table_LuT_Begroting_Deelnemers[[#This Row],[FO | IO | EO]]="IO",INDIRECT("Subsidie_IO_"&amp;Table_LuT_Begroting_Deelnemers[[#This Row],[Verkorte Referentienaam Deelnemer]]),0)</f>
        <v>0</v>
      </c>
      <c r="AU20" s="8" cm="1">
        <f t="array" aca="1" ref="AU20" ca="1">IF(Table_LuT_Begroting_Deelnemers[[#This Row],[FO | IO | EO]]="EO",INDIRECT("Subsidie_EO_"&amp;Table_LuT_Begroting_Deelnemers[[#This Row],[Verkorte Referentienaam Deelnemer]]),0)</f>
        <v>0</v>
      </c>
      <c r="AV20" s="8">
        <f ca="1">SUM(Table_LuT_Begroting_Deelnemers[[#This Row],[Gevraagde Subsidie FO]:[Gevraagde Subsidie EO]])</f>
        <v>0</v>
      </c>
    </row>
    <row r="21" spans="1:56" ht="15" customHeight="1" x14ac:dyDescent="0.25">
      <c r="A21" s="2" t="s">
        <v>198</v>
      </c>
      <c r="B21" s="2" t="s">
        <v>81</v>
      </c>
      <c r="C21" s="3" t="str">
        <f>_xlfn.XLOOKUP(Table_LuT_Begroting_Deelnemers[[#This Row],[ID Deelnemer]],Table_LuT_Deelnemers[ID Deelnemer],Table_LuT_Deelnemers[Verkorte Referentienaam Deelnemer],"&lt;Not in LuT&gt;",0,1)</f>
        <v>DN20</v>
      </c>
      <c r="D21" s="3" t="str">
        <f>Table_LuT_Begroting_Deelnemers[[#This Row],[ID Deelnemer]]&amp;" # "&amp;Table_LuT_Begroting_Deelnemers[[#This Row],[FO | IO | EO]]</f>
        <v>Deelnemer 20 # FO</v>
      </c>
      <c r="E21" s="3" t="b" cm="1">
        <f t="array" aca="1" ref="E21" ca="1">_xlfn.XLOOKUP(Table_LuT_Begroting_Deelnemers[[#This Row],[ID Deelnemer]],Table_LuT_Deelnemers[ID Deelnemer],INDIRECT("Table_LuT_Deelnemers["&amp;E$1&amp;"]"),"&lt;Not in LuT&gt;",0,1)</f>
        <v>0</v>
      </c>
      <c r="F21" s="3" t="b" cm="1">
        <f t="array" aca="1" ref="F21" ca="1">_xlfn.XLOOKUP(Table_LuT_Begroting_Deelnemers[[#This Row],[ID Deelnemer]],Table_LuT_Deelnemers[ID Deelnemer],INDIRECT("Table_LuT_Deelnemers["&amp;F$1&amp;"]"),"&lt;Not in LuT&gt;",0,1)</f>
        <v>0</v>
      </c>
      <c r="G21" s="3" t="b" cm="1">
        <f t="array" aca="1" ref="G21" ca="1">_xlfn.XLOOKUP(Table_LuT_Begroting_Deelnemers[[#This Row],[ID Deelnemer]],Table_LuT_Deelnemers[ID Deelnemer],INDIRECT("Table_LuT_Deelnemers["&amp;G$1&amp;"]"),"&lt;Not in LuT&gt;",0,1)</f>
        <v>0</v>
      </c>
      <c r="H21" s="3" t="b" cm="1">
        <f t="array" ref="H21">Var_MKB_Consortium</f>
        <v>1</v>
      </c>
      <c r="I21" s="3" t="b">
        <f ca="1">Table_LuT_Begroting_Deelnemers[[#This Row],[Is OO?]]</f>
        <v>0</v>
      </c>
      <c r="J21" s="3" t="str" cm="1">
        <f t="array" aca="1" ref="J21" ca="1">_xlfn.XLOOKUP(Table_LuT_Begroting_Deelnemers[[#This Row],[ID Deelnemer]],Table_LuT_Deelnemers[ID Deelnemer],INDIRECT("Table_LuT_Deelnemers["&amp;J$1&amp;"]"),"&lt;Not in LuT&gt;",0,1)</f>
        <v/>
      </c>
      <c r="K21" s="3" t="str" cm="1">
        <f t="array" aca="1" ref="K21" ca="1">_xlfn.XLOOKUP(Table_LuT_Begroting_Deelnemers[[#This Row],[ID Deelnemer]],Table_LuT_Deelnemers[ID Deelnemer],INDIRECT("Table_LuT_Deelnemers["&amp;K$1&amp;"]"),"&lt;Not in LuT&gt;",0,1)</f>
        <v/>
      </c>
      <c r="L21" s="8" cm="1">
        <f t="array" aca="1" ref="L21" ca="1">INDIRECT("'"&amp;$A21&amp;"'!Kosten_"&amp;Table_LuT_Begroting_Deelnemers[[#This Row],[FO | IO | EO]])</f>
        <v>0</v>
      </c>
      <c r="M21" s="8" cm="1">
        <f t="array" aca="1" ref="M21" ca="1">_xlfn.LET(_xlpm.maxsub_aux,INDIRECT("'"&amp;$A21&amp;"'!Max_Subsidie_"&amp;Table_LuT_Begroting_Deelnemers[[#This Row],[FO | IO | EO]]),IF(Var_Sub.instr.="MKB",IF(Table_LuT_Begroting_Deelnemers[[#This Row],[Is MKB?]],MIN(_xlpm.maxsub_aux,Var_MaxSub_MKB_call_MKB),MIN(_xlpm.maxsub_aux,Var_MaxSub_MKB_call_OO)),_xlpm.maxsub_aux))</f>
        <v>0</v>
      </c>
      <c r="N21" s="8">
        <f ca="1">Table_LuT_Begroting_Deelnemers[[#This Row],[Kosten]]-Table_LuT_Begroting_Deelnemers[[#This Row],[Maximale Subsidie - HTSM]]</f>
        <v>0</v>
      </c>
      <c r="O21" s="387" cm="1">
        <f t="array" aca="1" ref="O21"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21" s="394">
        <f ca="1">Table_LuT_Begroting_Deelnemers[[#This Row],[Maximale Subsidie % - wettelijk]]*Table_LuT_Begroting_Deelnemers[[#This Row],[Kosten]]</f>
        <v>0</v>
      </c>
      <c r="Q21"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2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2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21" s="8">
        <f ca="1">Table_LuT_Begroting_Deelnemers[[#This Row],[Kosten OO]]-Table_LuT_Begroting_Deelnemers[[#This Row],[Maximale Subsidie OO - HTSM]]</f>
        <v>0</v>
      </c>
      <c r="U2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21"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2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2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21" s="8">
        <f ca="1">Table_LuT_Begroting_Deelnemers[[#This Row],[Kosten PP]]-Table_LuT_Begroting_Deelnemers[[#This Row],[Maximale Subsidie PP - HTSM]]</f>
        <v>0</v>
      </c>
      <c r="Z2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21"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2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2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21" s="8">
        <f ca="1">Table_LuT_Begroting_Deelnemers[[#This Row],[Kosten GB]]-Table_LuT_Begroting_Deelnemers[[#This Row],[Maximale Subsidie GB - HTSM]]</f>
        <v>0</v>
      </c>
      <c r="AE2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21"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2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2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21" s="8">
        <f ca="1">Table_LuT_Begroting_Deelnemers[[#This Row],[Kosten MKB]]-Table_LuT_Begroting_Deelnemers[[#This Row],[Maximale Subsidie MKB - HTSM]]</f>
        <v>0</v>
      </c>
      <c r="AJ2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2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21" s="8">
        <f ca="1">MIN(Table_LuT_Begroting_Deelnemers[[#This Row],[Gegenereerde Subsidie - OO+MKB]],Table_LuT_Begroting_Deelnemers[[#This Row],[Maximale Subsidie OO - overheid]])</f>
        <v>0</v>
      </c>
      <c r="AM21" s="8" cm="1">
        <f t="array" aca="1" ref="AM21"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21" s="8" cm="1">
        <f t="array" aca="1" ref="AN21" ca="1">IF(Table_LuT_Begroting_Deelnemers[[#This Row],[FO | IO | EO]]="FO",INDIRECT("Cash_"&amp;Table_LuT_Begroting_Deelnemers[[#This Row],[Verkorte Referentienaam Deelnemer]]),0)</f>
        <v>0</v>
      </c>
      <c r="AO21" s="8" cm="1">
        <f t="array" aca="1" ref="AO21" ca="1">IF(Table_LuT_Begroting_Deelnemers[[#This Row],[FO | IO | EO]]="FO",INDIRECT("Cash_Ontvangen_"&amp;Table_LuT_Begroting_Deelnemers[[#This Row],[Verkorte Referentienaam Deelnemer]]),0)</f>
        <v>0</v>
      </c>
      <c r="AP21" s="8">
        <f ca="1">IF(Table_LuT_Begroting_Deelnemers[[#This Row],[Is OO?]],Table_LuT_Begroting_Deelnemers[[#This Row],[Cash Ontvangen]],0)</f>
        <v>0</v>
      </c>
      <c r="AQ21" s="8" cm="1">
        <f t="array" aca="1" ref="AQ21" ca="1">IF(Table_LuT_Begroting_Deelnemers[[#This Row],[FO | IO | EO]]="FO",INDIRECT("In_kind_"&amp;Table_LuT_Begroting_Deelnemers[[#This Row],[Verkorte Referentienaam Deelnemer]]),0)</f>
        <v>0</v>
      </c>
      <c r="AR21" s="8" cm="1">
        <f t="array" aca="1" ref="AR21" ca="1">IF(Table_LuT_Begroting_Deelnemers[[#This Row],[FO | IO | EO]]="FO",INDIRECT("Overige_Subsidies_"&amp;Table_LuT_Begroting_Deelnemers[[#This Row],[Verkorte Referentienaam Deelnemer]]),0)</f>
        <v>0</v>
      </c>
      <c r="AS21" s="8" cm="1">
        <f t="array" aca="1" ref="AS21" ca="1">IF(Table_LuT_Begroting_Deelnemers[[#This Row],[FO | IO | EO]]="FO",INDIRECT("Subsidie_FO_"&amp;Table_LuT_Begroting_Deelnemers[[#This Row],[Verkorte Referentienaam Deelnemer]]),0)</f>
        <v>0</v>
      </c>
      <c r="AT21" s="8" cm="1">
        <f t="array" aca="1" ref="AT21" ca="1">IF(Table_LuT_Begroting_Deelnemers[[#This Row],[FO | IO | EO]]="IO",INDIRECT("Subsidie_IO_"&amp;Table_LuT_Begroting_Deelnemers[[#This Row],[Verkorte Referentienaam Deelnemer]]),0)</f>
        <v>0</v>
      </c>
      <c r="AU21" s="8" cm="1">
        <f t="array" aca="1" ref="AU21" ca="1">IF(Table_LuT_Begroting_Deelnemers[[#This Row],[FO | IO | EO]]="EO",INDIRECT("Subsidie_EO_"&amp;Table_LuT_Begroting_Deelnemers[[#This Row],[Verkorte Referentienaam Deelnemer]]),0)</f>
        <v>0</v>
      </c>
      <c r="AV21" s="8">
        <f ca="1">SUM(Table_LuT_Begroting_Deelnemers[[#This Row],[Gevraagde Subsidie FO]:[Gevraagde Subsidie EO]])</f>
        <v>0</v>
      </c>
    </row>
    <row r="22" spans="1:56" ht="15" customHeight="1" x14ac:dyDescent="0.25">
      <c r="A22" s="2" t="s">
        <v>58</v>
      </c>
      <c r="B22" s="2" t="s">
        <v>82</v>
      </c>
      <c r="C22" s="3" t="str">
        <f>_xlfn.XLOOKUP(Table_LuT_Begroting_Deelnemers[[#This Row],[ID Deelnemer]],Table_LuT_Deelnemers[ID Deelnemer],Table_LuT_Deelnemers[Verkorte Referentienaam Deelnemer],"&lt;Not in LuT&gt;",0,1)</f>
        <v>DN1</v>
      </c>
      <c r="D22" s="3" t="str">
        <f>Table_LuT_Begroting_Deelnemers[[#This Row],[ID Deelnemer]]&amp;" # "&amp;Table_LuT_Begroting_Deelnemers[[#This Row],[FO | IO | EO]]</f>
        <v>Deelnemer 1 - Penvoerder # IO</v>
      </c>
      <c r="E22" s="3" t="b" cm="1">
        <f t="array" aca="1" ref="E22" ca="1">_xlfn.XLOOKUP(Table_LuT_Begroting_Deelnemers[[#This Row],[ID Deelnemer]],Table_LuT_Deelnemers[ID Deelnemer],INDIRECT("Table_LuT_Deelnemers["&amp;E$1&amp;"]"),"&lt;Not in LuT&gt;",0,1)</f>
        <v>0</v>
      </c>
      <c r="F22" s="3" t="b" cm="1">
        <f t="array" aca="1" ref="F22" ca="1">_xlfn.XLOOKUP(Table_LuT_Begroting_Deelnemers[[#This Row],[ID Deelnemer]],Table_LuT_Deelnemers[ID Deelnemer],INDIRECT("Table_LuT_Deelnemers["&amp;F$1&amp;"]"),"&lt;Not in LuT&gt;",0,1)</f>
        <v>0</v>
      </c>
      <c r="G22" s="3" t="b" cm="1">
        <f t="array" aca="1" ref="G22" ca="1">_xlfn.XLOOKUP(Table_LuT_Begroting_Deelnemers[[#This Row],[ID Deelnemer]],Table_LuT_Deelnemers[ID Deelnemer],INDIRECT("Table_LuT_Deelnemers["&amp;G$1&amp;"]"),"&lt;Not in LuT&gt;",0,1)</f>
        <v>1</v>
      </c>
      <c r="H22" s="3" t="b" cm="1">
        <f t="array" ref="H22">Var_MKB_Consortium</f>
        <v>1</v>
      </c>
      <c r="I22" s="3" t="b">
        <f ca="1">Table_LuT_Begroting_Deelnemers[[#This Row],[Is OO?]]</f>
        <v>0</v>
      </c>
      <c r="J22" s="3" t="str" cm="1">
        <f t="array" aca="1" ref="J22" ca="1">_xlfn.XLOOKUP(Table_LuT_Begroting_Deelnemers[[#This Row],[ID Deelnemer]],Table_LuT_Deelnemers[ID Deelnemer],INDIRECT("Table_LuT_Deelnemers["&amp;J$1&amp;"]"),"&lt;Not in LuT&gt;",0,1)</f>
        <v/>
      </c>
      <c r="K22" s="3" t="str" cm="1">
        <f t="array" aca="1" ref="K22" ca="1">_xlfn.XLOOKUP(Table_LuT_Begroting_Deelnemers[[#This Row],[ID Deelnemer]],Table_LuT_Deelnemers[ID Deelnemer],INDIRECT("Table_LuT_Deelnemers["&amp;K$1&amp;"]"),"&lt;Not in LuT&gt;",0,1)</f>
        <v/>
      </c>
      <c r="L22" s="8" cm="1">
        <f t="array" aca="1" ref="L22" ca="1">INDIRECT("'"&amp;$A22&amp;"'!Kosten_"&amp;Table_LuT_Begroting_Deelnemers[[#This Row],[FO | IO | EO]])</f>
        <v>0</v>
      </c>
      <c r="M22" s="8" cm="1">
        <f t="array" aca="1" ref="M22" ca="1">_xlfn.LET(_xlpm.maxsub_aux,INDIRECT("'"&amp;$A22&amp;"'!Max_Subsidie_"&amp;Table_LuT_Begroting_Deelnemers[[#This Row],[FO | IO | EO]]),IF(Var_Sub.instr.="MKB",IF(Table_LuT_Begroting_Deelnemers[[#This Row],[Is MKB?]],MIN(_xlpm.maxsub_aux,Var_MaxSub_MKB_call_MKB),MIN(_xlpm.maxsub_aux,Var_MaxSub_MKB_call_OO)),_xlpm.maxsub_aux))</f>
        <v>0</v>
      </c>
      <c r="N22" s="8">
        <f ca="1">Table_LuT_Begroting_Deelnemers[[#This Row],[Kosten]]-Table_LuT_Begroting_Deelnemers[[#This Row],[Maximale Subsidie - HTSM]]</f>
        <v>0</v>
      </c>
      <c r="O22" s="387" cm="1">
        <f t="array" aca="1" ref="O22"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22" s="394">
        <f ca="1">Table_LuT_Begroting_Deelnemers[[#This Row],[Maximale Subsidie % - wettelijk]]*Table_LuT_Begroting_Deelnemers[[#This Row],[Kosten]]</f>
        <v>0</v>
      </c>
      <c r="Q22"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2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2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22" s="8">
        <f ca="1">Table_LuT_Begroting_Deelnemers[[#This Row],[Kosten OO]]-Table_LuT_Begroting_Deelnemers[[#This Row],[Maximale Subsidie OO - HTSM]]</f>
        <v>0</v>
      </c>
      <c r="U2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22"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2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2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22" s="8">
        <f ca="1">Table_LuT_Begroting_Deelnemers[[#This Row],[Kosten PP]]-Table_LuT_Begroting_Deelnemers[[#This Row],[Maximale Subsidie PP - HTSM]]</f>
        <v>0</v>
      </c>
      <c r="Z2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22"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2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2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22" s="8">
        <f ca="1">Table_LuT_Begroting_Deelnemers[[#This Row],[Kosten GB]]-Table_LuT_Begroting_Deelnemers[[#This Row],[Maximale Subsidie GB - HTSM]]</f>
        <v>0</v>
      </c>
      <c r="AE2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22"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2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2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22" s="8">
        <f ca="1">Table_LuT_Begroting_Deelnemers[[#This Row],[Kosten MKB]]-Table_LuT_Begroting_Deelnemers[[#This Row],[Maximale Subsidie MKB - HTSM]]</f>
        <v>0</v>
      </c>
      <c r="AJ2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2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22" s="8">
        <f ca="1">MIN(Table_LuT_Begroting_Deelnemers[[#This Row],[Gegenereerde Subsidie - OO+MKB]],Table_LuT_Begroting_Deelnemers[[#This Row],[Maximale Subsidie OO - overheid]])</f>
        <v>0</v>
      </c>
      <c r="AM22" s="8" cm="1">
        <f t="array" aca="1" ref="AM22"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22" s="8" cm="1">
        <f t="array" aca="1" ref="AN22" ca="1">IF(Table_LuT_Begroting_Deelnemers[[#This Row],[FO | IO | EO]]="FO",INDIRECT("Cash_"&amp;Table_LuT_Begroting_Deelnemers[[#This Row],[Verkorte Referentienaam Deelnemer]]),0)</f>
        <v>0</v>
      </c>
      <c r="AO22" s="8" cm="1">
        <f t="array" aca="1" ref="AO22" ca="1">IF(Table_LuT_Begroting_Deelnemers[[#This Row],[FO | IO | EO]]="FO",INDIRECT("Cash_Ontvangen_"&amp;Table_LuT_Begroting_Deelnemers[[#This Row],[Verkorte Referentienaam Deelnemer]]),0)</f>
        <v>0</v>
      </c>
      <c r="AP22" s="8">
        <f ca="1">IF(Table_LuT_Begroting_Deelnemers[[#This Row],[Is OO?]],Table_LuT_Begroting_Deelnemers[[#This Row],[Cash Ontvangen]],0)</f>
        <v>0</v>
      </c>
      <c r="AQ22" s="8" cm="1">
        <f t="array" aca="1" ref="AQ22" ca="1">IF(Table_LuT_Begroting_Deelnemers[[#This Row],[FO | IO | EO]]="FO",INDIRECT("In_kind_"&amp;Table_LuT_Begroting_Deelnemers[[#This Row],[Verkorte Referentienaam Deelnemer]]),0)</f>
        <v>0</v>
      </c>
      <c r="AR22" s="8" cm="1">
        <f t="array" aca="1" ref="AR22" ca="1">IF(Table_LuT_Begroting_Deelnemers[[#This Row],[FO | IO | EO]]="FO",INDIRECT("Overige_Subsidies_"&amp;Table_LuT_Begroting_Deelnemers[[#This Row],[Verkorte Referentienaam Deelnemer]]),0)</f>
        <v>0</v>
      </c>
      <c r="AS22" s="8" cm="1">
        <f t="array" aca="1" ref="AS22" ca="1">IF(Table_LuT_Begroting_Deelnemers[[#This Row],[FO | IO | EO]]="FO",INDIRECT("Subsidie_FO_"&amp;Table_LuT_Begroting_Deelnemers[[#This Row],[Verkorte Referentienaam Deelnemer]]),0)</f>
        <v>0</v>
      </c>
      <c r="AT22" s="8" cm="1">
        <f t="array" aca="1" ref="AT22" ca="1">IF(Table_LuT_Begroting_Deelnemers[[#This Row],[FO | IO | EO]]="IO",INDIRECT("Subsidie_IO_"&amp;Table_LuT_Begroting_Deelnemers[[#This Row],[Verkorte Referentienaam Deelnemer]]),0)</f>
        <v>0</v>
      </c>
      <c r="AU22" s="8" cm="1">
        <f t="array" aca="1" ref="AU22" ca="1">IF(Table_LuT_Begroting_Deelnemers[[#This Row],[FO | IO | EO]]="EO",INDIRECT("Subsidie_EO_"&amp;Table_LuT_Begroting_Deelnemers[[#This Row],[Verkorte Referentienaam Deelnemer]]),0)</f>
        <v>0</v>
      </c>
      <c r="AV22" s="8">
        <f ca="1">SUM(Table_LuT_Begroting_Deelnemers[[#This Row],[Gevraagde Subsidie FO]:[Gevraagde Subsidie EO]])</f>
        <v>0</v>
      </c>
    </row>
    <row r="23" spans="1:56" ht="15" customHeight="1" x14ac:dyDescent="0.25">
      <c r="A23" s="2" t="s">
        <v>59</v>
      </c>
      <c r="B23" s="2" t="s">
        <v>82</v>
      </c>
      <c r="C23" s="3" t="str">
        <f>_xlfn.XLOOKUP(Table_LuT_Begroting_Deelnemers[[#This Row],[ID Deelnemer]],Table_LuT_Deelnemers[ID Deelnemer],Table_LuT_Deelnemers[Verkorte Referentienaam Deelnemer],"&lt;Not in LuT&gt;",0,1)</f>
        <v>DN2</v>
      </c>
      <c r="D23" s="3" t="str">
        <f>Table_LuT_Begroting_Deelnemers[[#This Row],[ID Deelnemer]]&amp;" # "&amp;Table_LuT_Begroting_Deelnemers[[#This Row],[FO | IO | EO]]</f>
        <v>Deelnemer 2 # IO</v>
      </c>
      <c r="E23" s="3" t="b" cm="1">
        <f t="array" aca="1" ref="E23" ca="1">_xlfn.XLOOKUP(Table_LuT_Begroting_Deelnemers[[#This Row],[ID Deelnemer]],Table_LuT_Deelnemers[ID Deelnemer],INDIRECT("Table_LuT_Deelnemers["&amp;E$1&amp;"]"),"&lt;Not in LuT&gt;",0,1)</f>
        <v>0</v>
      </c>
      <c r="F23" s="3" t="b" cm="1">
        <f t="array" aca="1" ref="F23" ca="1">_xlfn.XLOOKUP(Table_LuT_Begroting_Deelnemers[[#This Row],[ID Deelnemer]],Table_LuT_Deelnemers[ID Deelnemer],INDIRECT("Table_LuT_Deelnemers["&amp;F$1&amp;"]"),"&lt;Not in LuT&gt;",0,1)</f>
        <v>0</v>
      </c>
      <c r="G23" s="3" t="b" cm="1">
        <f t="array" aca="1" ref="G23" ca="1">_xlfn.XLOOKUP(Table_LuT_Begroting_Deelnemers[[#This Row],[ID Deelnemer]],Table_LuT_Deelnemers[ID Deelnemer],INDIRECT("Table_LuT_Deelnemers["&amp;G$1&amp;"]"),"&lt;Not in LuT&gt;",0,1)</f>
        <v>0</v>
      </c>
      <c r="H23" s="3" t="b" cm="1">
        <f t="array" ref="H23">Var_MKB_Consortium</f>
        <v>1</v>
      </c>
      <c r="I23" s="3" t="b">
        <f ca="1">Table_LuT_Begroting_Deelnemers[[#This Row],[Is OO?]]</f>
        <v>0</v>
      </c>
      <c r="J23" s="3" t="str" cm="1">
        <f t="array" aca="1" ref="J23" ca="1">_xlfn.XLOOKUP(Table_LuT_Begroting_Deelnemers[[#This Row],[ID Deelnemer]],Table_LuT_Deelnemers[ID Deelnemer],INDIRECT("Table_LuT_Deelnemers["&amp;J$1&amp;"]"),"&lt;Not in LuT&gt;",0,1)</f>
        <v/>
      </c>
      <c r="K23" s="3" t="str" cm="1">
        <f t="array" aca="1" ref="K23" ca="1">_xlfn.XLOOKUP(Table_LuT_Begroting_Deelnemers[[#This Row],[ID Deelnemer]],Table_LuT_Deelnemers[ID Deelnemer],INDIRECT("Table_LuT_Deelnemers["&amp;K$1&amp;"]"),"&lt;Not in LuT&gt;",0,1)</f>
        <v/>
      </c>
      <c r="L23" s="8" cm="1">
        <f t="array" aca="1" ref="L23" ca="1">INDIRECT("'"&amp;$A23&amp;"'!Kosten_"&amp;Table_LuT_Begroting_Deelnemers[[#This Row],[FO | IO | EO]])</f>
        <v>0</v>
      </c>
      <c r="M23" s="8" cm="1">
        <f t="array" aca="1" ref="M23" ca="1">_xlfn.LET(_xlpm.maxsub_aux,INDIRECT("'"&amp;$A23&amp;"'!Max_Subsidie_"&amp;Table_LuT_Begroting_Deelnemers[[#This Row],[FO | IO | EO]]),IF(Var_Sub.instr.="MKB",IF(Table_LuT_Begroting_Deelnemers[[#This Row],[Is MKB?]],MIN(_xlpm.maxsub_aux,Var_MaxSub_MKB_call_MKB),MIN(_xlpm.maxsub_aux,Var_MaxSub_MKB_call_OO)),_xlpm.maxsub_aux))</f>
        <v>0</v>
      </c>
      <c r="N23" s="8">
        <f ca="1">Table_LuT_Begroting_Deelnemers[[#This Row],[Kosten]]-Table_LuT_Begroting_Deelnemers[[#This Row],[Maximale Subsidie - HTSM]]</f>
        <v>0</v>
      </c>
      <c r="O23" s="387" cm="1">
        <f t="array" aca="1" ref="O23"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23" s="394">
        <f ca="1">Table_LuT_Begroting_Deelnemers[[#This Row],[Maximale Subsidie % - wettelijk]]*Table_LuT_Begroting_Deelnemers[[#This Row],[Kosten]]</f>
        <v>0</v>
      </c>
      <c r="Q23"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2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2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23" s="8">
        <f ca="1">Table_LuT_Begroting_Deelnemers[[#This Row],[Kosten OO]]-Table_LuT_Begroting_Deelnemers[[#This Row],[Maximale Subsidie OO - HTSM]]</f>
        <v>0</v>
      </c>
      <c r="U2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23"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2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2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23" s="8">
        <f ca="1">Table_LuT_Begroting_Deelnemers[[#This Row],[Kosten PP]]-Table_LuT_Begroting_Deelnemers[[#This Row],[Maximale Subsidie PP - HTSM]]</f>
        <v>0</v>
      </c>
      <c r="Z2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23"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2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2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23" s="8">
        <f ca="1">Table_LuT_Begroting_Deelnemers[[#This Row],[Kosten GB]]-Table_LuT_Begroting_Deelnemers[[#This Row],[Maximale Subsidie GB - HTSM]]</f>
        <v>0</v>
      </c>
      <c r="AE2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23"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2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2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23" s="8">
        <f ca="1">Table_LuT_Begroting_Deelnemers[[#This Row],[Kosten MKB]]-Table_LuT_Begroting_Deelnemers[[#This Row],[Maximale Subsidie MKB - HTSM]]</f>
        <v>0</v>
      </c>
      <c r="AJ2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2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23" s="8">
        <f ca="1">MIN(Table_LuT_Begroting_Deelnemers[[#This Row],[Gegenereerde Subsidie - OO+MKB]],Table_LuT_Begroting_Deelnemers[[#This Row],[Maximale Subsidie OO - overheid]])</f>
        <v>0</v>
      </c>
      <c r="AM23" s="8" cm="1">
        <f t="array" aca="1" ref="AM23"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23" s="8" cm="1">
        <f t="array" aca="1" ref="AN23" ca="1">IF(Table_LuT_Begroting_Deelnemers[[#This Row],[FO | IO | EO]]="FO",INDIRECT("Cash_"&amp;Table_LuT_Begroting_Deelnemers[[#This Row],[Verkorte Referentienaam Deelnemer]]),0)</f>
        <v>0</v>
      </c>
      <c r="AO23" s="8" cm="1">
        <f t="array" aca="1" ref="AO23" ca="1">IF(Table_LuT_Begroting_Deelnemers[[#This Row],[FO | IO | EO]]="FO",INDIRECT("Cash_Ontvangen_"&amp;Table_LuT_Begroting_Deelnemers[[#This Row],[Verkorte Referentienaam Deelnemer]]),0)</f>
        <v>0</v>
      </c>
      <c r="AP23" s="8">
        <f ca="1">IF(Table_LuT_Begroting_Deelnemers[[#This Row],[Is OO?]],Table_LuT_Begroting_Deelnemers[[#This Row],[Cash Ontvangen]],0)</f>
        <v>0</v>
      </c>
      <c r="AQ23" s="8" cm="1">
        <f t="array" aca="1" ref="AQ23" ca="1">IF(Table_LuT_Begroting_Deelnemers[[#This Row],[FO | IO | EO]]="FO",INDIRECT("In_kind_"&amp;Table_LuT_Begroting_Deelnemers[[#This Row],[Verkorte Referentienaam Deelnemer]]),0)</f>
        <v>0</v>
      </c>
      <c r="AR23" s="8" cm="1">
        <f t="array" aca="1" ref="AR23" ca="1">IF(Table_LuT_Begroting_Deelnemers[[#This Row],[FO | IO | EO]]="FO",INDIRECT("Overige_Subsidies_"&amp;Table_LuT_Begroting_Deelnemers[[#This Row],[Verkorte Referentienaam Deelnemer]]),0)</f>
        <v>0</v>
      </c>
      <c r="AS23" s="8" cm="1">
        <f t="array" aca="1" ref="AS23" ca="1">IF(Table_LuT_Begroting_Deelnemers[[#This Row],[FO | IO | EO]]="FO",INDIRECT("Subsidie_FO_"&amp;Table_LuT_Begroting_Deelnemers[[#This Row],[Verkorte Referentienaam Deelnemer]]),0)</f>
        <v>0</v>
      </c>
      <c r="AT23" s="8" cm="1">
        <f t="array" aca="1" ref="AT23" ca="1">IF(Table_LuT_Begroting_Deelnemers[[#This Row],[FO | IO | EO]]="IO",INDIRECT("Subsidie_IO_"&amp;Table_LuT_Begroting_Deelnemers[[#This Row],[Verkorte Referentienaam Deelnemer]]),0)</f>
        <v>0</v>
      </c>
      <c r="AU23" s="8" cm="1">
        <f t="array" aca="1" ref="AU23" ca="1">IF(Table_LuT_Begroting_Deelnemers[[#This Row],[FO | IO | EO]]="EO",INDIRECT("Subsidie_EO_"&amp;Table_LuT_Begroting_Deelnemers[[#This Row],[Verkorte Referentienaam Deelnemer]]),0)</f>
        <v>0</v>
      </c>
      <c r="AV23" s="8">
        <f ca="1">SUM(Table_LuT_Begroting_Deelnemers[[#This Row],[Gevraagde Subsidie FO]:[Gevraagde Subsidie EO]])</f>
        <v>0</v>
      </c>
    </row>
    <row r="24" spans="1:56" ht="15" customHeight="1" x14ac:dyDescent="0.25">
      <c r="A24" s="2" t="s">
        <v>60</v>
      </c>
      <c r="B24" s="2" t="s">
        <v>82</v>
      </c>
      <c r="C24" s="3" t="str">
        <f>_xlfn.XLOOKUP(Table_LuT_Begroting_Deelnemers[[#This Row],[ID Deelnemer]],Table_LuT_Deelnemers[ID Deelnemer],Table_LuT_Deelnemers[Verkorte Referentienaam Deelnemer],"&lt;Not in LuT&gt;",0,1)</f>
        <v>DN3</v>
      </c>
      <c r="D24" s="3" t="str">
        <f>Table_LuT_Begroting_Deelnemers[[#This Row],[ID Deelnemer]]&amp;" # "&amp;Table_LuT_Begroting_Deelnemers[[#This Row],[FO | IO | EO]]</f>
        <v>Deelnemer 3 # IO</v>
      </c>
      <c r="E24" s="3" t="b" cm="1">
        <f t="array" aca="1" ref="E24" ca="1">_xlfn.XLOOKUP(Table_LuT_Begroting_Deelnemers[[#This Row],[ID Deelnemer]],Table_LuT_Deelnemers[ID Deelnemer],INDIRECT("Table_LuT_Deelnemers["&amp;E$1&amp;"]"),"&lt;Not in LuT&gt;",0,1)</f>
        <v>0</v>
      </c>
      <c r="F24" s="3" t="b" cm="1">
        <f t="array" aca="1" ref="F24" ca="1">_xlfn.XLOOKUP(Table_LuT_Begroting_Deelnemers[[#This Row],[ID Deelnemer]],Table_LuT_Deelnemers[ID Deelnemer],INDIRECT("Table_LuT_Deelnemers["&amp;F$1&amp;"]"),"&lt;Not in LuT&gt;",0,1)</f>
        <v>0</v>
      </c>
      <c r="G24" s="3" t="b" cm="1">
        <f t="array" aca="1" ref="G24" ca="1">_xlfn.XLOOKUP(Table_LuT_Begroting_Deelnemers[[#This Row],[ID Deelnemer]],Table_LuT_Deelnemers[ID Deelnemer],INDIRECT("Table_LuT_Deelnemers["&amp;G$1&amp;"]"),"&lt;Not in LuT&gt;",0,1)</f>
        <v>0</v>
      </c>
      <c r="H24" s="3" t="b" cm="1">
        <f t="array" ref="H24">Var_MKB_Consortium</f>
        <v>1</v>
      </c>
      <c r="I24" s="3" t="b">
        <f ca="1">Table_LuT_Begroting_Deelnemers[[#This Row],[Is OO?]]</f>
        <v>0</v>
      </c>
      <c r="J24" s="3" t="str" cm="1">
        <f t="array" aca="1" ref="J24" ca="1">_xlfn.XLOOKUP(Table_LuT_Begroting_Deelnemers[[#This Row],[ID Deelnemer]],Table_LuT_Deelnemers[ID Deelnemer],INDIRECT("Table_LuT_Deelnemers["&amp;J$1&amp;"]"),"&lt;Not in LuT&gt;",0,1)</f>
        <v/>
      </c>
      <c r="K24" s="3" t="str" cm="1">
        <f t="array" aca="1" ref="K24" ca="1">_xlfn.XLOOKUP(Table_LuT_Begroting_Deelnemers[[#This Row],[ID Deelnemer]],Table_LuT_Deelnemers[ID Deelnemer],INDIRECT("Table_LuT_Deelnemers["&amp;K$1&amp;"]"),"&lt;Not in LuT&gt;",0,1)</f>
        <v/>
      </c>
      <c r="L24" s="8" cm="1">
        <f t="array" aca="1" ref="L24" ca="1">INDIRECT("'"&amp;$A24&amp;"'!Kosten_"&amp;Table_LuT_Begroting_Deelnemers[[#This Row],[FO | IO | EO]])</f>
        <v>0</v>
      </c>
      <c r="M24" s="8" cm="1">
        <f t="array" aca="1" ref="M24" ca="1">_xlfn.LET(_xlpm.maxsub_aux,INDIRECT("'"&amp;$A24&amp;"'!Max_Subsidie_"&amp;Table_LuT_Begroting_Deelnemers[[#This Row],[FO | IO | EO]]),IF(Var_Sub.instr.="MKB",IF(Table_LuT_Begroting_Deelnemers[[#This Row],[Is MKB?]],MIN(_xlpm.maxsub_aux,Var_MaxSub_MKB_call_MKB),MIN(_xlpm.maxsub_aux,Var_MaxSub_MKB_call_OO)),_xlpm.maxsub_aux))</f>
        <v>0</v>
      </c>
      <c r="N24" s="8">
        <f ca="1">Table_LuT_Begroting_Deelnemers[[#This Row],[Kosten]]-Table_LuT_Begroting_Deelnemers[[#This Row],[Maximale Subsidie - HTSM]]</f>
        <v>0</v>
      </c>
      <c r="O24" s="387" cm="1">
        <f t="array" aca="1" ref="O24"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24" s="394">
        <f ca="1">Table_LuT_Begroting_Deelnemers[[#This Row],[Maximale Subsidie % - wettelijk]]*Table_LuT_Begroting_Deelnemers[[#This Row],[Kosten]]</f>
        <v>0</v>
      </c>
      <c r="Q24"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2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2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24" s="8">
        <f ca="1">Table_LuT_Begroting_Deelnemers[[#This Row],[Kosten OO]]-Table_LuT_Begroting_Deelnemers[[#This Row],[Maximale Subsidie OO - HTSM]]</f>
        <v>0</v>
      </c>
      <c r="U2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24"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2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2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24" s="8">
        <f ca="1">Table_LuT_Begroting_Deelnemers[[#This Row],[Kosten PP]]-Table_LuT_Begroting_Deelnemers[[#This Row],[Maximale Subsidie PP - HTSM]]</f>
        <v>0</v>
      </c>
      <c r="Z2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24"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2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2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24" s="8">
        <f ca="1">Table_LuT_Begroting_Deelnemers[[#This Row],[Kosten GB]]-Table_LuT_Begroting_Deelnemers[[#This Row],[Maximale Subsidie GB - HTSM]]</f>
        <v>0</v>
      </c>
      <c r="AE2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24"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2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2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24" s="8">
        <f ca="1">Table_LuT_Begroting_Deelnemers[[#This Row],[Kosten MKB]]-Table_LuT_Begroting_Deelnemers[[#This Row],[Maximale Subsidie MKB - HTSM]]</f>
        <v>0</v>
      </c>
      <c r="AJ2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2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24" s="8">
        <f ca="1">MIN(Table_LuT_Begroting_Deelnemers[[#This Row],[Gegenereerde Subsidie - OO+MKB]],Table_LuT_Begroting_Deelnemers[[#This Row],[Maximale Subsidie OO - overheid]])</f>
        <v>0</v>
      </c>
      <c r="AM24" s="8" cm="1">
        <f t="array" aca="1" ref="AM24"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24" s="8" cm="1">
        <f t="array" aca="1" ref="AN24" ca="1">IF(Table_LuT_Begroting_Deelnemers[[#This Row],[FO | IO | EO]]="FO",INDIRECT("Cash_"&amp;Table_LuT_Begroting_Deelnemers[[#This Row],[Verkorte Referentienaam Deelnemer]]),0)</f>
        <v>0</v>
      </c>
      <c r="AO24" s="8" cm="1">
        <f t="array" aca="1" ref="AO24" ca="1">IF(Table_LuT_Begroting_Deelnemers[[#This Row],[FO | IO | EO]]="FO",INDIRECT("Cash_Ontvangen_"&amp;Table_LuT_Begroting_Deelnemers[[#This Row],[Verkorte Referentienaam Deelnemer]]),0)</f>
        <v>0</v>
      </c>
      <c r="AP24" s="8">
        <f ca="1">IF(Table_LuT_Begroting_Deelnemers[[#This Row],[Is OO?]],Table_LuT_Begroting_Deelnemers[[#This Row],[Cash Ontvangen]],0)</f>
        <v>0</v>
      </c>
      <c r="AQ24" s="8" cm="1">
        <f t="array" aca="1" ref="AQ24" ca="1">IF(Table_LuT_Begroting_Deelnemers[[#This Row],[FO | IO | EO]]="FO",INDIRECT("In_kind_"&amp;Table_LuT_Begroting_Deelnemers[[#This Row],[Verkorte Referentienaam Deelnemer]]),0)</f>
        <v>0</v>
      </c>
      <c r="AR24" s="8" cm="1">
        <f t="array" aca="1" ref="AR24" ca="1">IF(Table_LuT_Begroting_Deelnemers[[#This Row],[FO | IO | EO]]="FO",INDIRECT("Overige_Subsidies_"&amp;Table_LuT_Begroting_Deelnemers[[#This Row],[Verkorte Referentienaam Deelnemer]]),0)</f>
        <v>0</v>
      </c>
      <c r="AS24" s="8" cm="1">
        <f t="array" aca="1" ref="AS24" ca="1">IF(Table_LuT_Begroting_Deelnemers[[#This Row],[FO | IO | EO]]="FO",INDIRECT("Subsidie_FO_"&amp;Table_LuT_Begroting_Deelnemers[[#This Row],[Verkorte Referentienaam Deelnemer]]),0)</f>
        <v>0</v>
      </c>
      <c r="AT24" s="8" cm="1">
        <f t="array" aca="1" ref="AT24" ca="1">IF(Table_LuT_Begroting_Deelnemers[[#This Row],[FO | IO | EO]]="IO",INDIRECT("Subsidie_IO_"&amp;Table_LuT_Begroting_Deelnemers[[#This Row],[Verkorte Referentienaam Deelnemer]]),0)</f>
        <v>0</v>
      </c>
      <c r="AU24" s="8" cm="1">
        <f t="array" aca="1" ref="AU24" ca="1">IF(Table_LuT_Begroting_Deelnemers[[#This Row],[FO | IO | EO]]="EO",INDIRECT("Subsidie_EO_"&amp;Table_LuT_Begroting_Deelnemers[[#This Row],[Verkorte Referentienaam Deelnemer]]),0)</f>
        <v>0</v>
      </c>
      <c r="AV24" s="8">
        <f ca="1">SUM(Table_LuT_Begroting_Deelnemers[[#This Row],[Gevraagde Subsidie FO]:[Gevraagde Subsidie EO]])</f>
        <v>0</v>
      </c>
    </row>
    <row r="25" spans="1:56" ht="15" customHeight="1" x14ac:dyDescent="0.25">
      <c r="A25" s="2" t="s">
        <v>61</v>
      </c>
      <c r="B25" s="2" t="s">
        <v>82</v>
      </c>
      <c r="C25" s="3" t="str">
        <f>_xlfn.XLOOKUP(Table_LuT_Begroting_Deelnemers[[#This Row],[ID Deelnemer]],Table_LuT_Deelnemers[ID Deelnemer],Table_LuT_Deelnemers[Verkorte Referentienaam Deelnemer],"&lt;Not in LuT&gt;",0,1)</f>
        <v>DN4</v>
      </c>
      <c r="D25" s="3" t="str">
        <f>Table_LuT_Begroting_Deelnemers[[#This Row],[ID Deelnemer]]&amp;" # "&amp;Table_LuT_Begroting_Deelnemers[[#This Row],[FO | IO | EO]]</f>
        <v>Deelnemer 4 # IO</v>
      </c>
      <c r="E25" s="3" t="b" cm="1">
        <f t="array" aca="1" ref="E25" ca="1">_xlfn.XLOOKUP(Table_LuT_Begroting_Deelnemers[[#This Row],[ID Deelnemer]],Table_LuT_Deelnemers[ID Deelnemer],INDIRECT("Table_LuT_Deelnemers["&amp;E$1&amp;"]"),"&lt;Not in LuT&gt;",0,1)</f>
        <v>0</v>
      </c>
      <c r="F25" s="3" t="b" cm="1">
        <f t="array" aca="1" ref="F25" ca="1">_xlfn.XLOOKUP(Table_LuT_Begroting_Deelnemers[[#This Row],[ID Deelnemer]],Table_LuT_Deelnemers[ID Deelnemer],INDIRECT("Table_LuT_Deelnemers["&amp;F$1&amp;"]"),"&lt;Not in LuT&gt;",0,1)</f>
        <v>0</v>
      </c>
      <c r="G25" s="3" t="b" cm="1">
        <f t="array" aca="1" ref="G25" ca="1">_xlfn.XLOOKUP(Table_LuT_Begroting_Deelnemers[[#This Row],[ID Deelnemer]],Table_LuT_Deelnemers[ID Deelnemer],INDIRECT("Table_LuT_Deelnemers["&amp;G$1&amp;"]"),"&lt;Not in LuT&gt;",0,1)</f>
        <v>0</v>
      </c>
      <c r="H25" s="3" t="b" cm="1">
        <f t="array" ref="H25">Var_MKB_Consortium</f>
        <v>1</v>
      </c>
      <c r="I25" s="3" t="b">
        <f ca="1">Table_LuT_Begroting_Deelnemers[[#This Row],[Is OO?]]</f>
        <v>0</v>
      </c>
      <c r="J25" s="3" t="str" cm="1">
        <f t="array" aca="1" ref="J25" ca="1">_xlfn.XLOOKUP(Table_LuT_Begroting_Deelnemers[[#This Row],[ID Deelnemer]],Table_LuT_Deelnemers[ID Deelnemer],INDIRECT("Table_LuT_Deelnemers["&amp;J$1&amp;"]"),"&lt;Not in LuT&gt;",0,1)</f>
        <v/>
      </c>
      <c r="K25" s="3" t="str" cm="1">
        <f t="array" aca="1" ref="K25" ca="1">_xlfn.XLOOKUP(Table_LuT_Begroting_Deelnemers[[#This Row],[ID Deelnemer]],Table_LuT_Deelnemers[ID Deelnemer],INDIRECT("Table_LuT_Deelnemers["&amp;K$1&amp;"]"),"&lt;Not in LuT&gt;",0,1)</f>
        <v/>
      </c>
      <c r="L25" s="8" cm="1">
        <f t="array" aca="1" ref="L25" ca="1">INDIRECT("'"&amp;$A25&amp;"'!Kosten_"&amp;Table_LuT_Begroting_Deelnemers[[#This Row],[FO | IO | EO]])</f>
        <v>0</v>
      </c>
      <c r="M25" s="8" cm="1">
        <f t="array" aca="1" ref="M25" ca="1">_xlfn.LET(_xlpm.maxsub_aux,INDIRECT("'"&amp;$A25&amp;"'!Max_Subsidie_"&amp;Table_LuT_Begroting_Deelnemers[[#This Row],[FO | IO | EO]]),IF(Var_Sub.instr.="MKB",IF(Table_LuT_Begroting_Deelnemers[[#This Row],[Is MKB?]],MIN(_xlpm.maxsub_aux,Var_MaxSub_MKB_call_MKB),MIN(_xlpm.maxsub_aux,Var_MaxSub_MKB_call_OO)),_xlpm.maxsub_aux))</f>
        <v>0</v>
      </c>
      <c r="N25" s="8">
        <f ca="1">Table_LuT_Begroting_Deelnemers[[#This Row],[Kosten]]-Table_LuT_Begroting_Deelnemers[[#This Row],[Maximale Subsidie - HTSM]]</f>
        <v>0</v>
      </c>
      <c r="O25" s="387" cm="1">
        <f t="array" aca="1" ref="O25"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25" s="394">
        <f ca="1">Table_LuT_Begroting_Deelnemers[[#This Row],[Maximale Subsidie % - wettelijk]]*Table_LuT_Begroting_Deelnemers[[#This Row],[Kosten]]</f>
        <v>0</v>
      </c>
      <c r="Q25"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2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2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25" s="8">
        <f ca="1">Table_LuT_Begroting_Deelnemers[[#This Row],[Kosten OO]]-Table_LuT_Begroting_Deelnemers[[#This Row],[Maximale Subsidie OO - HTSM]]</f>
        <v>0</v>
      </c>
      <c r="U2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25"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2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2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25" s="8">
        <f ca="1">Table_LuT_Begroting_Deelnemers[[#This Row],[Kosten PP]]-Table_LuT_Begroting_Deelnemers[[#This Row],[Maximale Subsidie PP - HTSM]]</f>
        <v>0</v>
      </c>
      <c r="Z2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25"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2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2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25" s="8">
        <f ca="1">Table_LuT_Begroting_Deelnemers[[#This Row],[Kosten GB]]-Table_LuT_Begroting_Deelnemers[[#This Row],[Maximale Subsidie GB - HTSM]]</f>
        <v>0</v>
      </c>
      <c r="AE2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25"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2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2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25" s="8">
        <f ca="1">Table_LuT_Begroting_Deelnemers[[#This Row],[Kosten MKB]]-Table_LuT_Begroting_Deelnemers[[#This Row],[Maximale Subsidie MKB - HTSM]]</f>
        <v>0</v>
      </c>
      <c r="AJ2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2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25" s="8">
        <f ca="1">MIN(Table_LuT_Begroting_Deelnemers[[#This Row],[Gegenereerde Subsidie - OO+MKB]],Table_LuT_Begroting_Deelnemers[[#This Row],[Maximale Subsidie OO - overheid]])</f>
        <v>0</v>
      </c>
      <c r="AM25" s="8" cm="1">
        <f t="array" aca="1" ref="AM25"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25" s="8" cm="1">
        <f t="array" aca="1" ref="AN25" ca="1">IF(Table_LuT_Begroting_Deelnemers[[#This Row],[FO | IO | EO]]="FO",INDIRECT("Cash_"&amp;Table_LuT_Begroting_Deelnemers[[#This Row],[Verkorte Referentienaam Deelnemer]]),0)</f>
        <v>0</v>
      </c>
      <c r="AO25" s="8" cm="1">
        <f t="array" aca="1" ref="AO25" ca="1">IF(Table_LuT_Begroting_Deelnemers[[#This Row],[FO | IO | EO]]="FO",INDIRECT("Cash_Ontvangen_"&amp;Table_LuT_Begroting_Deelnemers[[#This Row],[Verkorte Referentienaam Deelnemer]]),0)</f>
        <v>0</v>
      </c>
      <c r="AP25" s="8">
        <f ca="1">IF(Table_LuT_Begroting_Deelnemers[[#This Row],[Is OO?]],Table_LuT_Begroting_Deelnemers[[#This Row],[Cash Ontvangen]],0)</f>
        <v>0</v>
      </c>
      <c r="AQ25" s="8" cm="1">
        <f t="array" aca="1" ref="AQ25" ca="1">IF(Table_LuT_Begroting_Deelnemers[[#This Row],[FO | IO | EO]]="FO",INDIRECT("In_kind_"&amp;Table_LuT_Begroting_Deelnemers[[#This Row],[Verkorte Referentienaam Deelnemer]]),0)</f>
        <v>0</v>
      </c>
      <c r="AR25" s="8" cm="1">
        <f t="array" aca="1" ref="AR25" ca="1">IF(Table_LuT_Begroting_Deelnemers[[#This Row],[FO | IO | EO]]="FO",INDIRECT("Overige_Subsidies_"&amp;Table_LuT_Begroting_Deelnemers[[#This Row],[Verkorte Referentienaam Deelnemer]]),0)</f>
        <v>0</v>
      </c>
      <c r="AS25" s="8" cm="1">
        <f t="array" aca="1" ref="AS25" ca="1">IF(Table_LuT_Begroting_Deelnemers[[#This Row],[FO | IO | EO]]="FO",INDIRECT("Subsidie_FO_"&amp;Table_LuT_Begroting_Deelnemers[[#This Row],[Verkorte Referentienaam Deelnemer]]),0)</f>
        <v>0</v>
      </c>
      <c r="AT25" s="8" cm="1">
        <f t="array" aca="1" ref="AT25" ca="1">IF(Table_LuT_Begroting_Deelnemers[[#This Row],[FO | IO | EO]]="IO",INDIRECT("Subsidie_IO_"&amp;Table_LuT_Begroting_Deelnemers[[#This Row],[Verkorte Referentienaam Deelnemer]]),0)</f>
        <v>0</v>
      </c>
      <c r="AU25" s="8" cm="1">
        <f t="array" aca="1" ref="AU25" ca="1">IF(Table_LuT_Begroting_Deelnemers[[#This Row],[FO | IO | EO]]="EO",INDIRECT("Subsidie_EO_"&amp;Table_LuT_Begroting_Deelnemers[[#This Row],[Verkorte Referentienaam Deelnemer]]),0)</f>
        <v>0</v>
      </c>
      <c r="AV25" s="8">
        <f ca="1">SUM(Table_LuT_Begroting_Deelnemers[[#This Row],[Gevraagde Subsidie FO]:[Gevraagde Subsidie EO]])</f>
        <v>0</v>
      </c>
    </row>
    <row r="26" spans="1:56" ht="15" customHeight="1" x14ac:dyDescent="0.25">
      <c r="A26" s="2" t="s">
        <v>62</v>
      </c>
      <c r="B26" s="2" t="s">
        <v>82</v>
      </c>
      <c r="C26" s="3" t="str">
        <f>_xlfn.XLOOKUP(Table_LuT_Begroting_Deelnemers[[#This Row],[ID Deelnemer]],Table_LuT_Deelnemers[ID Deelnemer],Table_LuT_Deelnemers[Verkorte Referentienaam Deelnemer],"&lt;Not in LuT&gt;",0,1)</f>
        <v>DN5</v>
      </c>
      <c r="D26" s="3" t="str">
        <f>Table_LuT_Begroting_Deelnemers[[#This Row],[ID Deelnemer]]&amp;" # "&amp;Table_LuT_Begroting_Deelnemers[[#This Row],[FO | IO | EO]]</f>
        <v>Deelnemer 5 # IO</v>
      </c>
      <c r="E26" s="3" t="b" cm="1">
        <f t="array" aca="1" ref="E26" ca="1">_xlfn.XLOOKUP(Table_LuT_Begroting_Deelnemers[[#This Row],[ID Deelnemer]],Table_LuT_Deelnemers[ID Deelnemer],INDIRECT("Table_LuT_Deelnemers["&amp;E$1&amp;"]"),"&lt;Not in LuT&gt;",0,1)</f>
        <v>0</v>
      </c>
      <c r="F26" s="3" t="b" cm="1">
        <f t="array" aca="1" ref="F26" ca="1">_xlfn.XLOOKUP(Table_LuT_Begroting_Deelnemers[[#This Row],[ID Deelnemer]],Table_LuT_Deelnemers[ID Deelnemer],INDIRECT("Table_LuT_Deelnemers["&amp;F$1&amp;"]"),"&lt;Not in LuT&gt;",0,1)</f>
        <v>0</v>
      </c>
      <c r="G26" s="3" t="b" cm="1">
        <f t="array" aca="1" ref="G26" ca="1">_xlfn.XLOOKUP(Table_LuT_Begroting_Deelnemers[[#This Row],[ID Deelnemer]],Table_LuT_Deelnemers[ID Deelnemer],INDIRECT("Table_LuT_Deelnemers["&amp;G$1&amp;"]"),"&lt;Not in LuT&gt;",0,1)</f>
        <v>0</v>
      </c>
      <c r="H26" s="3" t="b" cm="1">
        <f t="array" ref="H26">Var_MKB_Consortium</f>
        <v>1</v>
      </c>
      <c r="I26" s="3" t="b">
        <f ca="1">Table_LuT_Begroting_Deelnemers[[#This Row],[Is OO?]]</f>
        <v>0</v>
      </c>
      <c r="J26" s="3" t="str" cm="1">
        <f t="array" aca="1" ref="J26" ca="1">_xlfn.XLOOKUP(Table_LuT_Begroting_Deelnemers[[#This Row],[ID Deelnemer]],Table_LuT_Deelnemers[ID Deelnemer],INDIRECT("Table_LuT_Deelnemers["&amp;J$1&amp;"]"),"&lt;Not in LuT&gt;",0,1)</f>
        <v/>
      </c>
      <c r="K26" s="3" t="str" cm="1">
        <f t="array" aca="1" ref="K26" ca="1">_xlfn.XLOOKUP(Table_LuT_Begroting_Deelnemers[[#This Row],[ID Deelnemer]],Table_LuT_Deelnemers[ID Deelnemer],INDIRECT("Table_LuT_Deelnemers["&amp;K$1&amp;"]"),"&lt;Not in LuT&gt;",0,1)</f>
        <v/>
      </c>
      <c r="L26" s="8" cm="1">
        <f t="array" aca="1" ref="L26" ca="1">INDIRECT("'"&amp;$A26&amp;"'!Kosten_"&amp;Table_LuT_Begroting_Deelnemers[[#This Row],[FO | IO | EO]])</f>
        <v>0</v>
      </c>
      <c r="M26" s="8" cm="1">
        <f t="array" aca="1" ref="M26" ca="1">_xlfn.LET(_xlpm.maxsub_aux,INDIRECT("'"&amp;$A26&amp;"'!Max_Subsidie_"&amp;Table_LuT_Begroting_Deelnemers[[#This Row],[FO | IO | EO]]),IF(Var_Sub.instr.="MKB",IF(Table_LuT_Begroting_Deelnemers[[#This Row],[Is MKB?]],MIN(_xlpm.maxsub_aux,Var_MaxSub_MKB_call_MKB),MIN(_xlpm.maxsub_aux,Var_MaxSub_MKB_call_OO)),_xlpm.maxsub_aux))</f>
        <v>0</v>
      </c>
      <c r="N26" s="8">
        <f ca="1">Table_LuT_Begroting_Deelnemers[[#This Row],[Kosten]]-Table_LuT_Begroting_Deelnemers[[#This Row],[Maximale Subsidie - HTSM]]</f>
        <v>0</v>
      </c>
      <c r="O26" s="387" cm="1">
        <f t="array" aca="1" ref="O26"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26" s="394">
        <f ca="1">Table_LuT_Begroting_Deelnemers[[#This Row],[Maximale Subsidie % - wettelijk]]*Table_LuT_Begroting_Deelnemers[[#This Row],[Kosten]]</f>
        <v>0</v>
      </c>
      <c r="Q26"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2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2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26" s="8">
        <f ca="1">Table_LuT_Begroting_Deelnemers[[#This Row],[Kosten OO]]-Table_LuT_Begroting_Deelnemers[[#This Row],[Maximale Subsidie OO - HTSM]]</f>
        <v>0</v>
      </c>
      <c r="U2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26"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2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2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26" s="8">
        <f ca="1">Table_LuT_Begroting_Deelnemers[[#This Row],[Kosten PP]]-Table_LuT_Begroting_Deelnemers[[#This Row],[Maximale Subsidie PP - HTSM]]</f>
        <v>0</v>
      </c>
      <c r="Z2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26"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2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2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26" s="8">
        <f ca="1">Table_LuT_Begroting_Deelnemers[[#This Row],[Kosten GB]]-Table_LuT_Begroting_Deelnemers[[#This Row],[Maximale Subsidie GB - HTSM]]</f>
        <v>0</v>
      </c>
      <c r="AE2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26"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2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2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26" s="8">
        <f ca="1">Table_LuT_Begroting_Deelnemers[[#This Row],[Kosten MKB]]-Table_LuT_Begroting_Deelnemers[[#This Row],[Maximale Subsidie MKB - HTSM]]</f>
        <v>0</v>
      </c>
      <c r="AJ2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2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26" s="8">
        <f ca="1">MIN(Table_LuT_Begroting_Deelnemers[[#This Row],[Gegenereerde Subsidie - OO+MKB]],Table_LuT_Begroting_Deelnemers[[#This Row],[Maximale Subsidie OO - overheid]])</f>
        <v>0</v>
      </c>
      <c r="AM26" s="8" cm="1">
        <f t="array" aca="1" ref="AM26"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26" s="8" cm="1">
        <f t="array" aca="1" ref="AN26" ca="1">IF(Table_LuT_Begroting_Deelnemers[[#This Row],[FO | IO | EO]]="FO",INDIRECT("Cash_"&amp;Table_LuT_Begroting_Deelnemers[[#This Row],[Verkorte Referentienaam Deelnemer]]),0)</f>
        <v>0</v>
      </c>
      <c r="AO26" s="8" cm="1">
        <f t="array" aca="1" ref="AO26" ca="1">IF(Table_LuT_Begroting_Deelnemers[[#This Row],[FO | IO | EO]]="FO",INDIRECT("Cash_Ontvangen_"&amp;Table_LuT_Begroting_Deelnemers[[#This Row],[Verkorte Referentienaam Deelnemer]]),0)</f>
        <v>0</v>
      </c>
      <c r="AP26" s="8">
        <f ca="1">IF(Table_LuT_Begroting_Deelnemers[[#This Row],[Is OO?]],Table_LuT_Begroting_Deelnemers[[#This Row],[Cash Ontvangen]],0)</f>
        <v>0</v>
      </c>
      <c r="AQ26" s="8" cm="1">
        <f t="array" aca="1" ref="AQ26" ca="1">IF(Table_LuT_Begroting_Deelnemers[[#This Row],[FO | IO | EO]]="FO",INDIRECT("In_kind_"&amp;Table_LuT_Begroting_Deelnemers[[#This Row],[Verkorte Referentienaam Deelnemer]]),0)</f>
        <v>0</v>
      </c>
      <c r="AR26" s="8" cm="1">
        <f t="array" aca="1" ref="AR26" ca="1">IF(Table_LuT_Begroting_Deelnemers[[#This Row],[FO | IO | EO]]="FO",INDIRECT("Overige_Subsidies_"&amp;Table_LuT_Begroting_Deelnemers[[#This Row],[Verkorte Referentienaam Deelnemer]]),0)</f>
        <v>0</v>
      </c>
      <c r="AS26" s="8" cm="1">
        <f t="array" aca="1" ref="AS26" ca="1">IF(Table_LuT_Begroting_Deelnemers[[#This Row],[FO | IO | EO]]="FO",INDIRECT("Subsidie_FO_"&amp;Table_LuT_Begroting_Deelnemers[[#This Row],[Verkorte Referentienaam Deelnemer]]),0)</f>
        <v>0</v>
      </c>
      <c r="AT26" s="8" cm="1">
        <f t="array" aca="1" ref="AT26" ca="1">IF(Table_LuT_Begroting_Deelnemers[[#This Row],[FO | IO | EO]]="IO",INDIRECT("Subsidie_IO_"&amp;Table_LuT_Begroting_Deelnemers[[#This Row],[Verkorte Referentienaam Deelnemer]]),0)</f>
        <v>0</v>
      </c>
      <c r="AU26" s="8" cm="1">
        <f t="array" aca="1" ref="AU26" ca="1">IF(Table_LuT_Begroting_Deelnemers[[#This Row],[FO | IO | EO]]="EO",INDIRECT("Subsidie_EO_"&amp;Table_LuT_Begroting_Deelnemers[[#This Row],[Verkorte Referentienaam Deelnemer]]),0)</f>
        <v>0</v>
      </c>
      <c r="AV26" s="8">
        <f ca="1">SUM(Table_LuT_Begroting_Deelnemers[[#This Row],[Gevraagde Subsidie FO]:[Gevraagde Subsidie EO]])</f>
        <v>0</v>
      </c>
    </row>
    <row r="27" spans="1:56" ht="15" customHeight="1" x14ac:dyDescent="0.25">
      <c r="A27" s="2" t="s">
        <v>63</v>
      </c>
      <c r="B27" s="2" t="s">
        <v>82</v>
      </c>
      <c r="C27" s="3" t="str">
        <f>_xlfn.XLOOKUP(Table_LuT_Begroting_Deelnemers[[#This Row],[ID Deelnemer]],Table_LuT_Deelnemers[ID Deelnemer],Table_LuT_Deelnemers[Verkorte Referentienaam Deelnemer],"&lt;Not in LuT&gt;",0,1)</f>
        <v>DN6</v>
      </c>
      <c r="D27" s="3" t="str">
        <f>Table_LuT_Begroting_Deelnemers[[#This Row],[ID Deelnemer]]&amp;" # "&amp;Table_LuT_Begroting_Deelnemers[[#This Row],[FO | IO | EO]]</f>
        <v>Deelnemer 6 # IO</v>
      </c>
      <c r="E27" s="3" t="b" cm="1">
        <f t="array" aca="1" ref="E27" ca="1">_xlfn.XLOOKUP(Table_LuT_Begroting_Deelnemers[[#This Row],[ID Deelnemer]],Table_LuT_Deelnemers[ID Deelnemer],INDIRECT("Table_LuT_Deelnemers["&amp;E$1&amp;"]"),"&lt;Not in LuT&gt;",0,1)</f>
        <v>0</v>
      </c>
      <c r="F27" s="3" t="b" cm="1">
        <f t="array" aca="1" ref="F27" ca="1">_xlfn.XLOOKUP(Table_LuT_Begroting_Deelnemers[[#This Row],[ID Deelnemer]],Table_LuT_Deelnemers[ID Deelnemer],INDIRECT("Table_LuT_Deelnemers["&amp;F$1&amp;"]"),"&lt;Not in LuT&gt;",0,1)</f>
        <v>0</v>
      </c>
      <c r="G27" s="3" t="b" cm="1">
        <f t="array" aca="1" ref="G27" ca="1">_xlfn.XLOOKUP(Table_LuT_Begroting_Deelnemers[[#This Row],[ID Deelnemer]],Table_LuT_Deelnemers[ID Deelnemer],INDIRECT("Table_LuT_Deelnemers["&amp;G$1&amp;"]"),"&lt;Not in LuT&gt;",0,1)</f>
        <v>0</v>
      </c>
      <c r="H27" s="3" t="b" cm="1">
        <f t="array" ref="H27">Var_MKB_Consortium</f>
        <v>1</v>
      </c>
      <c r="I27" s="3" t="b">
        <f ca="1">Table_LuT_Begroting_Deelnemers[[#This Row],[Is OO?]]</f>
        <v>0</v>
      </c>
      <c r="J27" s="3" t="str" cm="1">
        <f t="array" aca="1" ref="J27" ca="1">_xlfn.XLOOKUP(Table_LuT_Begroting_Deelnemers[[#This Row],[ID Deelnemer]],Table_LuT_Deelnemers[ID Deelnemer],INDIRECT("Table_LuT_Deelnemers["&amp;J$1&amp;"]"),"&lt;Not in LuT&gt;",0,1)</f>
        <v/>
      </c>
      <c r="K27" s="3" t="str" cm="1">
        <f t="array" aca="1" ref="K27" ca="1">_xlfn.XLOOKUP(Table_LuT_Begroting_Deelnemers[[#This Row],[ID Deelnemer]],Table_LuT_Deelnemers[ID Deelnemer],INDIRECT("Table_LuT_Deelnemers["&amp;K$1&amp;"]"),"&lt;Not in LuT&gt;",0,1)</f>
        <v/>
      </c>
      <c r="L27" s="8" cm="1">
        <f t="array" aca="1" ref="L27" ca="1">INDIRECT("'"&amp;$A27&amp;"'!Kosten_"&amp;Table_LuT_Begroting_Deelnemers[[#This Row],[FO | IO | EO]])</f>
        <v>0</v>
      </c>
      <c r="M27" s="8" cm="1">
        <f t="array" aca="1" ref="M27" ca="1">_xlfn.LET(_xlpm.maxsub_aux,INDIRECT("'"&amp;$A27&amp;"'!Max_Subsidie_"&amp;Table_LuT_Begroting_Deelnemers[[#This Row],[FO | IO | EO]]),IF(Var_Sub.instr.="MKB",IF(Table_LuT_Begroting_Deelnemers[[#This Row],[Is MKB?]],MIN(_xlpm.maxsub_aux,Var_MaxSub_MKB_call_MKB),MIN(_xlpm.maxsub_aux,Var_MaxSub_MKB_call_OO)),_xlpm.maxsub_aux))</f>
        <v>0</v>
      </c>
      <c r="N27" s="8">
        <f ca="1">Table_LuT_Begroting_Deelnemers[[#This Row],[Kosten]]-Table_LuT_Begroting_Deelnemers[[#This Row],[Maximale Subsidie - HTSM]]</f>
        <v>0</v>
      </c>
      <c r="O27" s="387" cm="1">
        <f t="array" aca="1" ref="O27"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27" s="394">
        <f ca="1">Table_LuT_Begroting_Deelnemers[[#This Row],[Maximale Subsidie % - wettelijk]]*Table_LuT_Begroting_Deelnemers[[#This Row],[Kosten]]</f>
        <v>0</v>
      </c>
      <c r="Q27"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2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2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27" s="8">
        <f ca="1">Table_LuT_Begroting_Deelnemers[[#This Row],[Kosten OO]]-Table_LuT_Begroting_Deelnemers[[#This Row],[Maximale Subsidie OO - HTSM]]</f>
        <v>0</v>
      </c>
      <c r="U2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27"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2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2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27" s="8">
        <f ca="1">Table_LuT_Begroting_Deelnemers[[#This Row],[Kosten PP]]-Table_LuT_Begroting_Deelnemers[[#This Row],[Maximale Subsidie PP - HTSM]]</f>
        <v>0</v>
      </c>
      <c r="Z2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27"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2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2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27" s="8">
        <f ca="1">Table_LuT_Begroting_Deelnemers[[#This Row],[Kosten GB]]-Table_LuT_Begroting_Deelnemers[[#This Row],[Maximale Subsidie GB - HTSM]]</f>
        <v>0</v>
      </c>
      <c r="AE2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27"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2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2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27" s="8">
        <f ca="1">Table_LuT_Begroting_Deelnemers[[#This Row],[Kosten MKB]]-Table_LuT_Begroting_Deelnemers[[#This Row],[Maximale Subsidie MKB - HTSM]]</f>
        <v>0</v>
      </c>
      <c r="AJ2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2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27" s="8">
        <f ca="1">MIN(Table_LuT_Begroting_Deelnemers[[#This Row],[Gegenereerde Subsidie - OO+MKB]],Table_LuT_Begroting_Deelnemers[[#This Row],[Maximale Subsidie OO - overheid]])</f>
        <v>0</v>
      </c>
      <c r="AM27" s="8" cm="1">
        <f t="array" aca="1" ref="AM27"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27" s="8" cm="1">
        <f t="array" aca="1" ref="AN27" ca="1">IF(Table_LuT_Begroting_Deelnemers[[#This Row],[FO | IO | EO]]="FO",INDIRECT("Cash_"&amp;Table_LuT_Begroting_Deelnemers[[#This Row],[Verkorte Referentienaam Deelnemer]]),0)</f>
        <v>0</v>
      </c>
      <c r="AO27" s="8" cm="1">
        <f t="array" aca="1" ref="AO27" ca="1">IF(Table_LuT_Begroting_Deelnemers[[#This Row],[FO | IO | EO]]="FO",INDIRECT("Cash_Ontvangen_"&amp;Table_LuT_Begroting_Deelnemers[[#This Row],[Verkorte Referentienaam Deelnemer]]),0)</f>
        <v>0</v>
      </c>
      <c r="AP27" s="8">
        <f ca="1">IF(Table_LuT_Begroting_Deelnemers[[#This Row],[Is OO?]],Table_LuT_Begroting_Deelnemers[[#This Row],[Cash Ontvangen]],0)</f>
        <v>0</v>
      </c>
      <c r="AQ27" s="8" cm="1">
        <f t="array" aca="1" ref="AQ27" ca="1">IF(Table_LuT_Begroting_Deelnemers[[#This Row],[FO | IO | EO]]="FO",INDIRECT("In_kind_"&amp;Table_LuT_Begroting_Deelnemers[[#This Row],[Verkorte Referentienaam Deelnemer]]),0)</f>
        <v>0</v>
      </c>
      <c r="AR27" s="8" cm="1">
        <f t="array" aca="1" ref="AR27" ca="1">IF(Table_LuT_Begroting_Deelnemers[[#This Row],[FO | IO | EO]]="FO",INDIRECT("Overige_Subsidies_"&amp;Table_LuT_Begroting_Deelnemers[[#This Row],[Verkorte Referentienaam Deelnemer]]),0)</f>
        <v>0</v>
      </c>
      <c r="AS27" s="8" cm="1">
        <f t="array" aca="1" ref="AS27" ca="1">IF(Table_LuT_Begroting_Deelnemers[[#This Row],[FO | IO | EO]]="FO",INDIRECT("Subsidie_FO_"&amp;Table_LuT_Begroting_Deelnemers[[#This Row],[Verkorte Referentienaam Deelnemer]]),0)</f>
        <v>0</v>
      </c>
      <c r="AT27" s="8" cm="1">
        <f t="array" aca="1" ref="AT27" ca="1">IF(Table_LuT_Begroting_Deelnemers[[#This Row],[FO | IO | EO]]="IO",INDIRECT("Subsidie_IO_"&amp;Table_LuT_Begroting_Deelnemers[[#This Row],[Verkorte Referentienaam Deelnemer]]),0)</f>
        <v>0</v>
      </c>
      <c r="AU27" s="8" cm="1">
        <f t="array" aca="1" ref="AU27" ca="1">IF(Table_LuT_Begroting_Deelnemers[[#This Row],[FO | IO | EO]]="EO",INDIRECT("Subsidie_EO_"&amp;Table_LuT_Begroting_Deelnemers[[#This Row],[Verkorte Referentienaam Deelnemer]]),0)</f>
        <v>0</v>
      </c>
      <c r="AV27" s="8">
        <f ca="1">SUM(Table_LuT_Begroting_Deelnemers[[#This Row],[Gevraagde Subsidie FO]:[Gevraagde Subsidie EO]])</f>
        <v>0</v>
      </c>
    </row>
    <row r="28" spans="1:56" ht="15" customHeight="1" x14ac:dyDescent="0.25">
      <c r="A28" s="2" t="s">
        <v>64</v>
      </c>
      <c r="B28" s="2" t="s">
        <v>82</v>
      </c>
      <c r="C28" s="3" t="str">
        <f>_xlfn.XLOOKUP(Table_LuT_Begroting_Deelnemers[[#This Row],[ID Deelnemer]],Table_LuT_Deelnemers[ID Deelnemer],Table_LuT_Deelnemers[Verkorte Referentienaam Deelnemer],"&lt;Not in LuT&gt;",0,1)</f>
        <v>DN7</v>
      </c>
      <c r="D28" s="3" t="str">
        <f>Table_LuT_Begroting_Deelnemers[[#This Row],[ID Deelnemer]]&amp;" # "&amp;Table_LuT_Begroting_Deelnemers[[#This Row],[FO | IO | EO]]</f>
        <v>Deelnemer 7 # IO</v>
      </c>
      <c r="E28" s="3" t="b" cm="1">
        <f t="array" aca="1" ref="E28" ca="1">_xlfn.XLOOKUP(Table_LuT_Begroting_Deelnemers[[#This Row],[ID Deelnemer]],Table_LuT_Deelnemers[ID Deelnemer],INDIRECT("Table_LuT_Deelnemers["&amp;E$1&amp;"]"),"&lt;Not in LuT&gt;",0,1)</f>
        <v>0</v>
      </c>
      <c r="F28" s="3" t="b" cm="1">
        <f t="array" aca="1" ref="F28" ca="1">_xlfn.XLOOKUP(Table_LuT_Begroting_Deelnemers[[#This Row],[ID Deelnemer]],Table_LuT_Deelnemers[ID Deelnemer],INDIRECT("Table_LuT_Deelnemers["&amp;F$1&amp;"]"),"&lt;Not in LuT&gt;",0,1)</f>
        <v>0</v>
      </c>
      <c r="G28" s="3" t="b" cm="1">
        <f t="array" aca="1" ref="G28" ca="1">_xlfn.XLOOKUP(Table_LuT_Begroting_Deelnemers[[#This Row],[ID Deelnemer]],Table_LuT_Deelnemers[ID Deelnemer],INDIRECT("Table_LuT_Deelnemers["&amp;G$1&amp;"]"),"&lt;Not in LuT&gt;",0,1)</f>
        <v>0</v>
      </c>
      <c r="H28" s="3" t="b" cm="1">
        <f t="array" ref="H28">Var_MKB_Consortium</f>
        <v>1</v>
      </c>
      <c r="I28" s="3" t="b">
        <f ca="1">Table_LuT_Begroting_Deelnemers[[#This Row],[Is OO?]]</f>
        <v>0</v>
      </c>
      <c r="J28" s="3" t="str" cm="1">
        <f t="array" aca="1" ref="J28" ca="1">_xlfn.XLOOKUP(Table_LuT_Begroting_Deelnemers[[#This Row],[ID Deelnemer]],Table_LuT_Deelnemers[ID Deelnemer],INDIRECT("Table_LuT_Deelnemers["&amp;J$1&amp;"]"),"&lt;Not in LuT&gt;",0,1)</f>
        <v/>
      </c>
      <c r="K28" s="3" t="str" cm="1">
        <f t="array" aca="1" ref="K28" ca="1">_xlfn.XLOOKUP(Table_LuT_Begroting_Deelnemers[[#This Row],[ID Deelnemer]],Table_LuT_Deelnemers[ID Deelnemer],INDIRECT("Table_LuT_Deelnemers["&amp;K$1&amp;"]"),"&lt;Not in LuT&gt;",0,1)</f>
        <v/>
      </c>
      <c r="L28" s="8" cm="1">
        <f t="array" aca="1" ref="L28" ca="1">INDIRECT("'"&amp;$A28&amp;"'!Kosten_"&amp;Table_LuT_Begroting_Deelnemers[[#This Row],[FO | IO | EO]])</f>
        <v>0</v>
      </c>
      <c r="M28" s="8" cm="1">
        <f t="array" aca="1" ref="M28" ca="1">_xlfn.LET(_xlpm.maxsub_aux,INDIRECT("'"&amp;$A28&amp;"'!Max_Subsidie_"&amp;Table_LuT_Begroting_Deelnemers[[#This Row],[FO | IO | EO]]),IF(Var_Sub.instr.="MKB",IF(Table_LuT_Begroting_Deelnemers[[#This Row],[Is MKB?]],MIN(_xlpm.maxsub_aux,Var_MaxSub_MKB_call_MKB),MIN(_xlpm.maxsub_aux,Var_MaxSub_MKB_call_OO)),_xlpm.maxsub_aux))</f>
        <v>0</v>
      </c>
      <c r="N28" s="8">
        <f ca="1">Table_LuT_Begroting_Deelnemers[[#This Row],[Kosten]]-Table_LuT_Begroting_Deelnemers[[#This Row],[Maximale Subsidie - HTSM]]</f>
        <v>0</v>
      </c>
      <c r="O28" s="387" cm="1">
        <f t="array" aca="1" ref="O28"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28" s="394">
        <f ca="1">Table_LuT_Begroting_Deelnemers[[#This Row],[Maximale Subsidie % - wettelijk]]*Table_LuT_Begroting_Deelnemers[[#This Row],[Kosten]]</f>
        <v>0</v>
      </c>
      <c r="Q28"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2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2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28" s="8">
        <f ca="1">Table_LuT_Begroting_Deelnemers[[#This Row],[Kosten OO]]-Table_LuT_Begroting_Deelnemers[[#This Row],[Maximale Subsidie OO - HTSM]]</f>
        <v>0</v>
      </c>
      <c r="U2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28"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2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2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28" s="8">
        <f ca="1">Table_LuT_Begroting_Deelnemers[[#This Row],[Kosten PP]]-Table_LuT_Begroting_Deelnemers[[#This Row],[Maximale Subsidie PP - HTSM]]</f>
        <v>0</v>
      </c>
      <c r="Z2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28"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2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2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28" s="8">
        <f ca="1">Table_LuT_Begroting_Deelnemers[[#This Row],[Kosten GB]]-Table_LuT_Begroting_Deelnemers[[#This Row],[Maximale Subsidie GB - HTSM]]</f>
        <v>0</v>
      </c>
      <c r="AE2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28"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2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2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28" s="8">
        <f ca="1">Table_LuT_Begroting_Deelnemers[[#This Row],[Kosten MKB]]-Table_LuT_Begroting_Deelnemers[[#This Row],[Maximale Subsidie MKB - HTSM]]</f>
        <v>0</v>
      </c>
      <c r="AJ2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2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28" s="8">
        <f ca="1">MIN(Table_LuT_Begroting_Deelnemers[[#This Row],[Gegenereerde Subsidie - OO+MKB]],Table_LuT_Begroting_Deelnemers[[#This Row],[Maximale Subsidie OO - overheid]])</f>
        <v>0</v>
      </c>
      <c r="AM28" s="8" cm="1">
        <f t="array" aca="1" ref="AM28"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28" s="8" cm="1">
        <f t="array" aca="1" ref="AN28" ca="1">IF(Table_LuT_Begroting_Deelnemers[[#This Row],[FO | IO | EO]]="FO",INDIRECT("Cash_"&amp;Table_LuT_Begroting_Deelnemers[[#This Row],[Verkorte Referentienaam Deelnemer]]),0)</f>
        <v>0</v>
      </c>
      <c r="AO28" s="8" cm="1">
        <f t="array" aca="1" ref="AO28" ca="1">IF(Table_LuT_Begroting_Deelnemers[[#This Row],[FO | IO | EO]]="FO",INDIRECT("Cash_Ontvangen_"&amp;Table_LuT_Begroting_Deelnemers[[#This Row],[Verkorte Referentienaam Deelnemer]]),0)</f>
        <v>0</v>
      </c>
      <c r="AP28" s="8">
        <f ca="1">IF(Table_LuT_Begroting_Deelnemers[[#This Row],[Is OO?]],Table_LuT_Begroting_Deelnemers[[#This Row],[Cash Ontvangen]],0)</f>
        <v>0</v>
      </c>
      <c r="AQ28" s="8" cm="1">
        <f t="array" aca="1" ref="AQ28" ca="1">IF(Table_LuT_Begroting_Deelnemers[[#This Row],[FO | IO | EO]]="FO",INDIRECT("In_kind_"&amp;Table_LuT_Begroting_Deelnemers[[#This Row],[Verkorte Referentienaam Deelnemer]]),0)</f>
        <v>0</v>
      </c>
      <c r="AR28" s="8" cm="1">
        <f t="array" aca="1" ref="AR28" ca="1">IF(Table_LuT_Begroting_Deelnemers[[#This Row],[FO | IO | EO]]="FO",INDIRECT("Overige_Subsidies_"&amp;Table_LuT_Begroting_Deelnemers[[#This Row],[Verkorte Referentienaam Deelnemer]]),0)</f>
        <v>0</v>
      </c>
      <c r="AS28" s="8" cm="1">
        <f t="array" aca="1" ref="AS28" ca="1">IF(Table_LuT_Begroting_Deelnemers[[#This Row],[FO | IO | EO]]="FO",INDIRECT("Subsidie_FO_"&amp;Table_LuT_Begroting_Deelnemers[[#This Row],[Verkorte Referentienaam Deelnemer]]),0)</f>
        <v>0</v>
      </c>
      <c r="AT28" s="8" cm="1">
        <f t="array" aca="1" ref="AT28" ca="1">IF(Table_LuT_Begroting_Deelnemers[[#This Row],[FO | IO | EO]]="IO",INDIRECT("Subsidie_IO_"&amp;Table_LuT_Begroting_Deelnemers[[#This Row],[Verkorte Referentienaam Deelnemer]]),0)</f>
        <v>0</v>
      </c>
      <c r="AU28" s="8" cm="1">
        <f t="array" aca="1" ref="AU28" ca="1">IF(Table_LuT_Begroting_Deelnemers[[#This Row],[FO | IO | EO]]="EO",INDIRECT("Subsidie_EO_"&amp;Table_LuT_Begroting_Deelnemers[[#This Row],[Verkorte Referentienaam Deelnemer]]),0)</f>
        <v>0</v>
      </c>
      <c r="AV28" s="8">
        <f ca="1">SUM(Table_LuT_Begroting_Deelnemers[[#This Row],[Gevraagde Subsidie FO]:[Gevraagde Subsidie EO]])</f>
        <v>0</v>
      </c>
    </row>
    <row r="29" spans="1:56" ht="15" customHeight="1" x14ac:dyDescent="0.25">
      <c r="A29" s="2" t="s">
        <v>65</v>
      </c>
      <c r="B29" s="2" t="s">
        <v>82</v>
      </c>
      <c r="C29" s="3" t="str">
        <f>_xlfn.XLOOKUP(Table_LuT_Begroting_Deelnemers[[#This Row],[ID Deelnemer]],Table_LuT_Deelnemers[ID Deelnemer],Table_LuT_Deelnemers[Verkorte Referentienaam Deelnemer],"&lt;Not in LuT&gt;",0,1)</f>
        <v>DN8</v>
      </c>
      <c r="D29" s="3" t="str">
        <f>Table_LuT_Begroting_Deelnemers[[#This Row],[ID Deelnemer]]&amp;" # "&amp;Table_LuT_Begroting_Deelnemers[[#This Row],[FO | IO | EO]]</f>
        <v>Deelnemer 8 # IO</v>
      </c>
      <c r="E29" s="3" t="b" cm="1">
        <f t="array" aca="1" ref="E29" ca="1">_xlfn.XLOOKUP(Table_LuT_Begroting_Deelnemers[[#This Row],[ID Deelnemer]],Table_LuT_Deelnemers[ID Deelnemer],INDIRECT("Table_LuT_Deelnemers["&amp;E$1&amp;"]"),"&lt;Not in LuT&gt;",0,1)</f>
        <v>0</v>
      </c>
      <c r="F29" s="3" t="b" cm="1">
        <f t="array" aca="1" ref="F29" ca="1">_xlfn.XLOOKUP(Table_LuT_Begroting_Deelnemers[[#This Row],[ID Deelnemer]],Table_LuT_Deelnemers[ID Deelnemer],INDIRECT("Table_LuT_Deelnemers["&amp;F$1&amp;"]"),"&lt;Not in LuT&gt;",0,1)</f>
        <v>0</v>
      </c>
      <c r="G29" s="3" t="b" cm="1">
        <f t="array" aca="1" ref="G29" ca="1">_xlfn.XLOOKUP(Table_LuT_Begroting_Deelnemers[[#This Row],[ID Deelnemer]],Table_LuT_Deelnemers[ID Deelnemer],INDIRECT("Table_LuT_Deelnemers["&amp;G$1&amp;"]"),"&lt;Not in LuT&gt;",0,1)</f>
        <v>0</v>
      </c>
      <c r="H29" s="3" t="b" cm="1">
        <f t="array" ref="H29">Var_MKB_Consortium</f>
        <v>1</v>
      </c>
      <c r="I29" s="3" t="b">
        <f ca="1">Table_LuT_Begroting_Deelnemers[[#This Row],[Is OO?]]</f>
        <v>0</v>
      </c>
      <c r="J29" s="3" t="str" cm="1">
        <f t="array" aca="1" ref="J29" ca="1">_xlfn.XLOOKUP(Table_LuT_Begroting_Deelnemers[[#This Row],[ID Deelnemer]],Table_LuT_Deelnemers[ID Deelnemer],INDIRECT("Table_LuT_Deelnemers["&amp;J$1&amp;"]"),"&lt;Not in LuT&gt;",0,1)</f>
        <v/>
      </c>
      <c r="K29" s="3" t="str" cm="1">
        <f t="array" aca="1" ref="K29" ca="1">_xlfn.XLOOKUP(Table_LuT_Begroting_Deelnemers[[#This Row],[ID Deelnemer]],Table_LuT_Deelnemers[ID Deelnemer],INDIRECT("Table_LuT_Deelnemers["&amp;K$1&amp;"]"),"&lt;Not in LuT&gt;",0,1)</f>
        <v/>
      </c>
      <c r="L29" s="8" cm="1">
        <f t="array" aca="1" ref="L29" ca="1">INDIRECT("'"&amp;$A29&amp;"'!Kosten_"&amp;Table_LuT_Begroting_Deelnemers[[#This Row],[FO | IO | EO]])</f>
        <v>0</v>
      </c>
      <c r="M29" s="8" cm="1">
        <f t="array" aca="1" ref="M29" ca="1">_xlfn.LET(_xlpm.maxsub_aux,INDIRECT("'"&amp;$A29&amp;"'!Max_Subsidie_"&amp;Table_LuT_Begroting_Deelnemers[[#This Row],[FO | IO | EO]]),IF(Var_Sub.instr.="MKB",IF(Table_LuT_Begroting_Deelnemers[[#This Row],[Is MKB?]],MIN(_xlpm.maxsub_aux,Var_MaxSub_MKB_call_MKB),MIN(_xlpm.maxsub_aux,Var_MaxSub_MKB_call_OO)),_xlpm.maxsub_aux))</f>
        <v>0</v>
      </c>
      <c r="N29" s="8">
        <f ca="1">Table_LuT_Begroting_Deelnemers[[#This Row],[Kosten]]-Table_LuT_Begroting_Deelnemers[[#This Row],[Maximale Subsidie - HTSM]]</f>
        <v>0</v>
      </c>
      <c r="O29" s="387" cm="1">
        <f t="array" aca="1" ref="O29"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29" s="394">
        <f ca="1">Table_LuT_Begroting_Deelnemers[[#This Row],[Maximale Subsidie % - wettelijk]]*Table_LuT_Begroting_Deelnemers[[#This Row],[Kosten]]</f>
        <v>0</v>
      </c>
      <c r="Q29"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2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2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29" s="8">
        <f ca="1">Table_LuT_Begroting_Deelnemers[[#This Row],[Kosten OO]]-Table_LuT_Begroting_Deelnemers[[#This Row],[Maximale Subsidie OO - HTSM]]</f>
        <v>0</v>
      </c>
      <c r="U2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29"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2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2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29" s="8">
        <f ca="1">Table_LuT_Begroting_Deelnemers[[#This Row],[Kosten PP]]-Table_LuT_Begroting_Deelnemers[[#This Row],[Maximale Subsidie PP - HTSM]]</f>
        <v>0</v>
      </c>
      <c r="Z2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29"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2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2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29" s="8">
        <f ca="1">Table_LuT_Begroting_Deelnemers[[#This Row],[Kosten GB]]-Table_LuT_Begroting_Deelnemers[[#This Row],[Maximale Subsidie GB - HTSM]]</f>
        <v>0</v>
      </c>
      <c r="AE2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29"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2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2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29" s="8">
        <f ca="1">Table_LuT_Begroting_Deelnemers[[#This Row],[Kosten MKB]]-Table_LuT_Begroting_Deelnemers[[#This Row],[Maximale Subsidie MKB - HTSM]]</f>
        <v>0</v>
      </c>
      <c r="AJ2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2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29" s="8">
        <f ca="1">MIN(Table_LuT_Begroting_Deelnemers[[#This Row],[Gegenereerde Subsidie - OO+MKB]],Table_LuT_Begroting_Deelnemers[[#This Row],[Maximale Subsidie OO - overheid]])</f>
        <v>0</v>
      </c>
      <c r="AM29" s="8" cm="1">
        <f t="array" aca="1" ref="AM29"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29" s="8" cm="1">
        <f t="array" aca="1" ref="AN29" ca="1">IF(Table_LuT_Begroting_Deelnemers[[#This Row],[FO | IO | EO]]="FO",INDIRECT("Cash_"&amp;Table_LuT_Begroting_Deelnemers[[#This Row],[Verkorte Referentienaam Deelnemer]]),0)</f>
        <v>0</v>
      </c>
      <c r="AO29" s="8" cm="1">
        <f t="array" aca="1" ref="AO29" ca="1">IF(Table_LuT_Begroting_Deelnemers[[#This Row],[FO | IO | EO]]="FO",INDIRECT("Cash_Ontvangen_"&amp;Table_LuT_Begroting_Deelnemers[[#This Row],[Verkorte Referentienaam Deelnemer]]),0)</f>
        <v>0</v>
      </c>
      <c r="AP29" s="8">
        <f ca="1">IF(Table_LuT_Begroting_Deelnemers[[#This Row],[Is OO?]],Table_LuT_Begroting_Deelnemers[[#This Row],[Cash Ontvangen]],0)</f>
        <v>0</v>
      </c>
      <c r="AQ29" s="8" cm="1">
        <f t="array" aca="1" ref="AQ29" ca="1">IF(Table_LuT_Begroting_Deelnemers[[#This Row],[FO | IO | EO]]="FO",INDIRECT("In_kind_"&amp;Table_LuT_Begroting_Deelnemers[[#This Row],[Verkorte Referentienaam Deelnemer]]),0)</f>
        <v>0</v>
      </c>
      <c r="AR29" s="8" cm="1">
        <f t="array" aca="1" ref="AR29" ca="1">IF(Table_LuT_Begroting_Deelnemers[[#This Row],[FO | IO | EO]]="FO",INDIRECT("Overige_Subsidies_"&amp;Table_LuT_Begroting_Deelnemers[[#This Row],[Verkorte Referentienaam Deelnemer]]),0)</f>
        <v>0</v>
      </c>
      <c r="AS29" s="8" cm="1">
        <f t="array" aca="1" ref="AS29" ca="1">IF(Table_LuT_Begroting_Deelnemers[[#This Row],[FO | IO | EO]]="FO",INDIRECT("Subsidie_FO_"&amp;Table_LuT_Begroting_Deelnemers[[#This Row],[Verkorte Referentienaam Deelnemer]]),0)</f>
        <v>0</v>
      </c>
      <c r="AT29" s="8" cm="1">
        <f t="array" aca="1" ref="AT29" ca="1">IF(Table_LuT_Begroting_Deelnemers[[#This Row],[FO | IO | EO]]="IO",INDIRECT("Subsidie_IO_"&amp;Table_LuT_Begroting_Deelnemers[[#This Row],[Verkorte Referentienaam Deelnemer]]),0)</f>
        <v>0</v>
      </c>
      <c r="AU29" s="8" cm="1">
        <f t="array" aca="1" ref="AU29" ca="1">IF(Table_LuT_Begroting_Deelnemers[[#This Row],[FO | IO | EO]]="EO",INDIRECT("Subsidie_EO_"&amp;Table_LuT_Begroting_Deelnemers[[#This Row],[Verkorte Referentienaam Deelnemer]]),0)</f>
        <v>0</v>
      </c>
      <c r="AV29" s="8">
        <f ca="1">SUM(Table_LuT_Begroting_Deelnemers[[#This Row],[Gevraagde Subsidie FO]:[Gevraagde Subsidie EO]])</f>
        <v>0</v>
      </c>
    </row>
    <row r="30" spans="1:56" ht="15" customHeight="1" x14ac:dyDescent="0.25">
      <c r="A30" s="2" t="s">
        <v>66</v>
      </c>
      <c r="B30" s="2" t="s">
        <v>82</v>
      </c>
      <c r="C30" s="3" t="str">
        <f>_xlfn.XLOOKUP(Table_LuT_Begroting_Deelnemers[[#This Row],[ID Deelnemer]],Table_LuT_Deelnemers[ID Deelnemer],Table_LuT_Deelnemers[Verkorte Referentienaam Deelnemer],"&lt;Not in LuT&gt;",0,1)</f>
        <v>DN9</v>
      </c>
      <c r="D30" s="3" t="str">
        <f>Table_LuT_Begroting_Deelnemers[[#This Row],[ID Deelnemer]]&amp;" # "&amp;Table_LuT_Begroting_Deelnemers[[#This Row],[FO | IO | EO]]</f>
        <v>Deelnemer 9 # IO</v>
      </c>
      <c r="E30" s="3" t="b" cm="1">
        <f t="array" aca="1" ref="E30" ca="1">_xlfn.XLOOKUP(Table_LuT_Begroting_Deelnemers[[#This Row],[ID Deelnemer]],Table_LuT_Deelnemers[ID Deelnemer],INDIRECT("Table_LuT_Deelnemers["&amp;E$1&amp;"]"),"&lt;Not in LuT&gt;",0,1)</f>
        <v>0</v>
      </c>
      <c r="F30" s="3" t="b" cm="1">
        <f t="array" aca="1" ref="F30" ca="1">_xlfn.XLOOKUP(Table_LuT_Begroting_Deelnemers[[#This Row],[ID Deelnemer]],Table_LuT_Deelnemers[ID Deelnemer],INDIRECT("Table_LuT_Deelnemers["&amp;F$1&amp;"]"),"&lt;Not in LuT&gt;",0,1)</f>
        <v>0</v>
      </c>
      <c r="G30" s="3" t="b" cm="1">
        <f t="array" aca="1" ref="G30" ca="1">_xlfn.XLOOKUP(Table_LuT_Begroting_Deelnemers[[#This Row],[ID Deelnemer]],Table_LuT_Deelnemers[ID Deelnemer],INDIRECT("Table_LuT_Deelnemers["&amp;G$1&amp;"]"),"&lt;Not in LuT&gt;",0,1)</f>
        <v>0</v>
      </c>
      <c r="H30" s="3" t="b" cm="1">
        <f t="array" ref="H30">Var_MKB_Consortium</f>
        <v>1</v>
      </c>
      <c r="I30" s="3" t="b">
        <f ca="1">Table_LuT_Begroting_Deelnemers[[#This Row],[Is OO?]]</f>
        <v>0</v>
      </c>
      <c r="J30" s="3" t="str" cm="1">
        <f t="array" aca="1" ref="J30" ca="1">_xlfn.XLOOKUP(Table_LuT_Begroting_Deelnemers[[#This Row],[ID Deelnemer]],Table_LuT_Deelnemers[ID Deelnemer],INDIRECT("Table_LuT_Deelnemers["&amp;J$1&amp;"]"),"&lt;Not in LuT&gt;",0,1)</f>
        <v/>
      </c>
      <c r="K30" s="3" t="str" cm="1">
        <f t="array" aca="1" ref="K30" ca="1">_xlfn.XLOOKUP(Table_LuT_Begroting_Deelnemers[[#This Row],[ID Deelnemer]],Table_LuT_Deelnemers[ID Deelnemer],INDIRECT("Table_LuT_Deelnemers["&amp;K$1&amp;"]"),"&lt;Not in LuT&gt;",0,1)</f>
        <v/>
      </c>
      <c r="L30" s="8" cm="1">
        <f t="array" aca="1" ref="L30" ca="1">INDIRECT("'"&amp;$A30&amp;"'!Kosten_"&amp;Table_LuT_Begroting_Deelnemers[[#This Row],[FO | IO | EO]])</f>
        <v>0</v>
      </c>
      <c r="M30" s="8" cm="1">
        <f t="array" aca="1" ref="M30" ca="1">_xlfn.LET(_xlpm.maxsub_aux,INDIRECT("'"&amp;$A30&amp;"'!Max_Subsidie_"&amp;Table_LuT_Begroting_Deelnemers[[#This Row],[FO | IO | EO]]),IF(Var_Sub.instr.="MKB",IF(Table_LuT_Begroting_Deelnemers[[#This Row],[Is MKB?]],MIN(_xlpm.maxsub_aux,Var_MaxSub_MKB_call_MKB),MIN(_xlpm.maxsub_aux,Var_MaxSub_MKB_call_OO)),_xlpm.maxsub_aux))</f>
        <v>0</v>
      </c>
      <c r="N30" s="8">
        <f ca="1">Table_LuT_Begroting_Deelnemers[[#This Row],[Kosten]]-Table_LuT_Begroting_Deelnemers[[#This Row],[Maximale Subsidie - HTSM]]</f>
        <v>0</v>
      </c>
      <c r="O30" s="387" cm="1">
        <f t="array" aca="1" ref="O30"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30" s="394">
        <f ca="1">Table_LuT_Begroting_Deelnemers[[#This Row],[Maximale Subsidie % - wettelijk]]*Table_LuT_Begroting_Deelnemers[[#This Row],[Kosten]]</f>
        <v>0</v>
      </c>
      <c r="Q30"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3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3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30" s="8">
        <f ca="1">Table_LuT_Begroting_Deelnemers[[#This Row],[Kosten OO]]-Table_LuT_Begroting_Deelnemers[[#This Row],[Maximale Subsidie OO - HTSM]]</f>
        <v>0</v>
      </c>
      <c r="U3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30"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3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3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30" s="8">
        <f ca="1">Table_LuT_Begroting_Deelnemers[[#This Row],[Kosten PP]]-Table_LuT_Begroting_Deelnemers[[#This Row],[Maximale Subsidie PP - HTSM]]</f>
        <v>0</v>
      </c>
      <c r="Z3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30"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3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3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30" s="8">
        <f ca="1">Table_LuT_Begroting_Deelnemers[[#This Row],[Kosten GB]]-Table_LuT_Begroting_Deelnemers[[#This Row],[Maximale Subsidie GB - HTSM]]</f>
        <v>0</v>
      </c>
      <c r="AE3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30"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3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3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30" s="8">
        <f ca="1">Table_LuT_Begroting_Deelnemers[[#This Row],[Kosten MKB]]-Table_LuT_Begroting_Deelnemers[[#This Row],[Maximale Subsidie MKB - HTSM]]</f>
        <v>0</v>
      </c>
      <c r="AJ3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3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30" s="8">
        <f ca="1">MIN(Table_LuT_Begroting_Deelnemers[[#This Row],[Gegenereerde Subsidie - OO+MKB]],Table_LuT_Begroting_Deelnemers[[#This Row],[Maximale Subsidie OO - overheid]])</f>
        <v>0</v>
      </c>
      <c r="AM30" s="8" cm="1">
        <f t="array" aca="1" ref="AM30"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30" s="8" cm="1">
        <f t="array" aca="1" ref="AN30" ca="1">IF(Table_LuT_Begroting_Deelnemers[[#This Row],[FO | IO | EO]]="FO",INDIRECT("Cash_"&amp;Table_LuT_Begroting_Deelnemers[[#This Row],[Verkorte Referentienaam Deelnemer]]),0)</f>
        <v>0</v>
      </c>
      <c r="AO30" s="8" cm="1">
        <f t="array" aca="1" ref="AO30" ca="1">IF(Table_LuT_Begroting_Deelnemers[[#This Row],[FO | IO | EO]]="FO",INDIRECT("Cash_Ontvangen_"&amp;Table_LuT_Begroting_Deelnemers[[#This Row],[Verkorte Referentienaam Deelnemer]]),0)</f>
        <v>0</v>
      </c>
      <c r="AP30" s="8">
        <f ca="1">IF(Table_LuT_Begroting_Deelnemers[[#This Row],[Is OO?]],Table_LuT_Begroting_Deelnemers[[#This Row],[Cash Ontvangen]],0)</f>
        <v>0</v>
      </c>
      <c r="AQ30" s="8" cm="1">
        <f t="array" aca="1" ref="AQ30" ca="1">IF(Table_LuT_Begroting_Deelnemers[[#This Row],[FO | IO | EO]]="FO",INDIRECT("In_kind_"&amp;Table_LuT_Begroting_Deelnemers[[#This Row],[Verkorte Referentienaam Deelnemer]]),0)</f>
        <v>0</v>
      </c>
      <c r="AR30" s="8" cm="1">
        <f t="array" aca="1" ref="AR30" ca="1">IF(Table_LuT_Begroting_Deelnemers[[#This Row],[FO | IO | EO]]="FO",INDIRECT("Overige_Subsidies_"&amp;Table_LuT_Begroting_Deelnemers[[#This Row],[Verkorte Referentienaam Deelnemer]]),0)</f>
        <v>0</v>
      </c>
      <c r="AS30" s="8" cm="1">
        <f t="array" aca="1" ref="AS30" ca="1">IF(Table_LuT_Begroting_Deelnemers[[#This Row],[FO | IO | EO]]="FO",INDIRECT("Subsidie_FO_"&amp;Table_LuT_Begroting_Deelnemers[[#This Row],[Verkorte Referentienaam Deelnemer]]),0)</f>
        <v>0</v>
      </c>
      <c r="AT30" s="8" cm="1">
        <f t="array" aca="1" ref="AT30" ca="1">IF(Table_LuT_Begroting_Deelnemers[[#This Row],[FO | IO | EO]]="IO",INDIRECT("Subsidie_IO_"&amp;Table_LuT_Begroting_Deelnemers[[#This Row],[Verkorte Referentienaam Deelnemer]]),0)</f>
        <v>0</v>
      </c>
      <c r="AU30" s="8" cm="1">
        <f t="array" aca="1" ref="AU30" ca="1">IF(Table_LuT_Begroting_Deelnemers[[#This Row],[FO | IO | EO]]="EO",INDIRECT("Subsidie_EO_"&amp;Table_LuT_Begroting_Deelnemers[[#This Row],[Verkorte Referentienaam Deelnemer]]),0)</f>
        <v>0</v>
      </c>
      <c r="AV30" s="8">
        <f ca="1">SUM(Table_LuT_Begroting_Deelnemers[[#This Row],[Gevraagde Subsidie FO]:[Gevraagde Subsidie EO]])</f>
        <v>0</v>
      </c>
    </row>
    <row r="31" spans="1:56" ht="15" customHeight="1" x14ac:dyDescent="0.25">
      <c r="A31" s="2" t="s">
        <v>67</v>
      </c>
      <c r="B31" s="2" t="s">
        <v>82</v>
      </c>
      <c r="C31" s="3" t="str">
        <f>_xlfn.XLOOKUP(Table_LuT_Begroting_Deelnemers[[#This Row],[ID Deelnemer]],Table_LuT_Deelnemers[ID Deelnemer],Table_LuT_Deelnemers[Verkorte Referentienaam Deelnemer],"&lt;Not in LuT&gt;",0,1)</f>
        <v>DN10</v>
      </c>
      <c r="D31" s="3" t="str">
        <f>Table_LuT_Begroting_Deelnemers[[#This Row],[ID Deelnemer]]&amp;" # "&amp;Table_LuT_Begroting_Deelnemers[[#This Row],[FO | IO | EO]]</f>
        <v>Deelnemer 10 # IO</v>
      </c>
      <c r="E31" s="3" t="b" cm="1">
        <f t="array" aca="1" ref="E31" ca="1">_xlfn.XLOOKUP(Table_LuT_Begroting_Deelnemers[[#This Row],[ID Deelnemer]],Table_LuT_Deelnemers[ID Deelnemer],INDIRECT("Table_LuT_Deelnemers["&amp;E$1&amp;"]"),"&lt;Not in LuT&gt;",0,1)</f>
        <v>0</v>
      </c>
      <c r="F31" s="3" t="b" cm="1">
        <f t="array" aca="1" ref="F31" ca="1">_xlfn.XLOOKUP(Table_LuT_Begroting_Deelnemers[[#This Row],[ID Deelnemer]],Table_LuT_Deelnemers[ID Deelnemer],INDIRECT("Table_LuT_Deelnemers["&amp;F$1&amp;"]"),"&lt;Not in LuT&gt;",0,1)</f>
        <v>0</v>
      </c>
      <c r="G31" s="3" t="b" cm="1">
        <f t="array" aca="1" ref="G31" ca="1">_xlfn.XLOOKUP(Table_LuT_Begroting_Deelnemers[[#This Row],[ID Deelnemer]],Table_LuT_Deelnemers[ID Deelnemer],INDIRECT("Table_LuT_Deelnemers["&amp;G$1&amp;"]"),"&lt;Not in LuT&gt;",0,1)</f>
        <v>0</v>
      </c>
      <c r="H31" s="3" t="b" cm="1">
        <f t="array" ref="H31">Var_MKB_Consortium</f>
        <v>1</v>
      </c>
      <c r="I31" s="3" t="b">
        <f ca="1">Table_LuT_Begroting_Deelnemers[[#This Row],[Is OO?]]</f>
        <v>0</v>
      </c>
      <c r="J31" s="3" t="str" cm="1">
        <f t="array" aca="1" ref="J31" ca="1">_xlfn.XLOOKUP(Table_LuT_Begroting_Deelnemers[[#This Row],[ID Deelnemer]],Table_LuT_Deelnemers[ID Deelnemer],INDIRECT("Table_LuT_Deelnemers["&amp;J$1&amp;"]"),"&lt;Not in LuT&gt;",0,1)</f>
        <v/>
      </c>
      <c r="K31" s="3" t="str" cm="1">
        <f t="array" aca="1" ref="K31" ca="1">_xlfn.XLOOKUP(Table_LuT_Begroting_Deelnemers[[#This Row],[ID Deelnemer]],Table_LuT_Deelnemers[ID Deelnemer],INDIRECT("Table_LuT_Deelnemers["&amp;K$1&amp;"]"),"&lt;Not in LuT&gt;",0,1)</f>
        <v/>
      </c>
      <c r="L31" s="8" cm="1">
        <f t="array" aca="1" ref="L31" ca="1">INDIRECT("'"&amp;$A31&amp;"'!Kosten_"&amp;Table_LuT_Begroting_Deelnemers[[#This Row],[FO | IO | EO]])</f>
        <v>0</v>
      </c>
      <c r="M31" s="8" cm="1">
        <f t="array" aca="1" ref="M31" ca="1">_xlfn.LET(_xlpm.maxsub_aux,INDIRECT("'"&amp;$A31&amp;"'!Max_Subsidie_"&amp;Table_LuT_Begroting_Deelnemers[[#This Row],[FO | IO | EO]]),IF(Var_Sub.instr.="MKB",IF(Table_LuT_Begroting_Deelnemers[[#This Row],[Is MKB?]],MIN(_xlpm.maxsub_aux,Var_MaxSub_MKB_call_MKB),MIN(_xlpm.maxsub_aux,Var_MaxSub_MKB_call_OO)),_xlpm.maxsub_aux))</f>
        <v>0</v>
      </c>
      <c r="N31" s="8">
        <f ca="1">Table_LuT_Begroting_Deelnemers[[#This Row],[Kosten]]-Table_LuT_Begroting_Deelnemers[[#This Row],[Maximale Subsidie - HTSM]]</f>
        <v>0</v>
      </c>
      <c r="O31" s="387" cm="1">
        <f t="array" aca="1" ref="O31"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31" s="394">
        <f ca="1">Table_LuT_Begroting_Deelnemers[[#This Row],[Maximale Subsidie % - wettelijk]]*Table_LuT_Begroting_Deelnemers[[#This Row],[Kosten]]</f>
        <v>0</v>
      </c>
      <c r="Q31"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3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3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31" s="8">
        <f ca="1">Table_LuT_Begroting_Deelnemers[[#This Row],[Kosten OO]]-Table_LuT_Begroting_Deelnemers[[#This Row],[Maximale Subsidie OO - HTSM]]</f>
        <v>0</v>
      </c>
      <c r="U3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31"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3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3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31" s="8">
        <f ca="1">Table_LuT_Begroting_Deelnemers[[#This Row],[Kosten PP]]-Table_LuT_Begroting_Deelnemers[[#This Row],[Maximale Subsidie PP - HTSM]]</f>
        <v>0</v>
      </c>
      <c r="Z3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31"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3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3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31" s="8">
        <f ca="1">Table_LuT_Begroting_Deelnemers[[#This Row],[Kosten GB]]-Table_LuT_Begroting_Deelnemers[[#This Row],[Maximale Subsidie GB - HTSM]]</f>
        <v>0</v>
      </c>
      <c r="AE3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31"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3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3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31" s="8">
        <f ca="1">Table_LuT_Begroting_Deelnemers[[#This Row],[Kosten MKB]]-Table_LuT_Begroting_Deelnemers[[#This Row],[Maximale Subsidie MKB - HTSM]]</f>
        <v>0</v>
      </c>
      <c r="AJ3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3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31" s="8">
        <f ca="1">MIN(Table_LuT_Begroting_Deelnemers[[#This Row],[Gegenereerde Subsidie - OO+MKB]],Table_LuT_Begroting_Deelnemers[[#This Row],[Maximale Subsidie OO - overheid]])</f>
        <v>0</v>
      </c>
      <c r="AM31" s="8" cm="1">
        <f t="array" aca="1" ref="AM31"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31" s="8" cm="1">
        <f t="array" aca="1" ref="AN31" ca="1">IF(Table_LuT_Begroting_Deelnemers[[#This Row],[FO | IO | EO]]="FO",INDIRECT("Cash_"&amp;Table_LuT_Begroting_Deelnemers[[#This Row],[Verkorte Referentienaam Deelnemer]]),0)</f>
        <v>0</v>
      </c>
      <c r="AO31" s="8" cm="1">
        <f t="array" aca="1" ref="AO31" ca="1">IF(Table_LuT_Begroting_Deelnemers[[#This Row],[FO | IO | EO]]="FO",INDIRECT("Cash_Ontvangen_"&amp;Table_LuT_Begroting_Deelnemers[[#This Row],[Verkorte Referentienaam Deelnemer]]),0)</f>
        <v>0</v>
      </c>
      <c r="AP31" s="8">
        <f ca="1">IF(Table_LuT_Begroting_Deelnemers[[#This Row],[Is OO?]],Table_LuT_Begroting_Deelnemers[[#This Row],[Cash Ontvangen]],0)</f>
        <v>0</v>
      </c>
      <c r="AQ31" s="8" cm="1">
        <f t="array" aca="1" ref="AQ31" ca="1">IF(Table_LuT_Begroting_Deelnemers[[#This Row],[FO | IO | EO]]="FO",INDIRECT("In_kind_"&amp;Table_LuT_Begroting_Deelnemers[[#This Row],[Verkorte Referentienaam Deelnemer]]),0)</f>
        <v>0</v>
      </c>
      <c r="AR31" s="8" cm="1">
        <f t="array" aca="1" ref="AR31" ca="1">IF(Table_LuT_Begroting_Deelnemers[[#This Row],[FO | IO | EO]]="FO",INDIRECT("Overige_Subsidies_"&amp;Table_LuT_Begroting_Deelnemers[[#This Row],[Verkorte Referentienaam Deelnemer]]),0)</f>
        <v>0</v>
      </c>
      <c r="AS31" s="8" cm="1">
        <f t="array" aca="1" ref="AS31" ca="1">IF(Table_LuT_Begroting_Deelnemers[[#This Row],[FO | IO | EO]]="FO",INDIRECT("Subsidie_FO_"&amp;Table_LuT_Begroting_Deelnemers[[#This Row],[Verkorte Referentienaam Deelnemer]]),0)</f>
        <v>0</v>
      </c>
      <c r="AT31" s="8" cm="1">
        <f t="array" aca="1" ref="AT31" ca="1">IF(Table_LuT_Begroting_Deelnemers[[#This Row],[FO | IO | EO]]="IO",INDIRECT("Subsidie_IO_"&amp;Table_LuT_Begroting_Deelnemers[[#This Row],[Verkorte Referentienaam Deelnemer]]),0)</f>
        <v>0</v>
      </c>
      <c r="AU31" s="8" cm="1">
        <f t="array" aca="1" ref="AU31" ca="1">IF(Table_LuT_Begroting_Deelnemers[[#This Row],[FO | IO | EO]]="EO",INDIRECT("Subsidie_EO_"&amp;Table_LuT_Begroting_Deelnemers[[#This Row],[Verkorte Referentienaam Deelnemer]]),0)</f>
        <v>0</v>
      </c>
      <c r="AV31" s="8">
        <f ca="1">SUM(Table_LuT_Begroting_Deelnemers[[#This Row],[Gevraagde Subsidie FO]:[Gevraagde Subsidie EO]])</f>
        <v>0</v>
      </c>
    </row>
    <row r="32" spans="1:56" ht="15" customHeight="1" x14ac:dyDescent="0.25">
      <c r="A32" s="2" t="s">
        <v>189</v>
      </c>
      <c r="B32" s="2" t="s">
        <v>82</v>
      </c>
      <c r="C32" s="3" t="str">
        <f>_xlfn.XLOOKUP(Table_LuT_Begroting_Deelnemers[[#This Row],[ID Deelnemer]],Table_LuT_Deelnemers[ID Deelnemer],Table_LuT_Deelnemers[Verkorte Referentienaam Deelnemer],"&lt;Not in LuT&gt;",0,1)</f>
        <v>DN11</v>
      </c>
      <c r="D32" s="3" t="str">
        <f>Table_LuT_Begroting_Deelnemers[[#This Row],[ID Deelnemer]]&amp;" # "&amp;Table_LuT_Begroting_Deelnemers[[#This Row],[FO | IO | EO]]</f>
        <v>Deelnemer 11 # IO</v>
      </c>
      <c r="E32" s="3" t="b" cm="1">
        <f t="array" aca="1" ref="E32" ca="1">_xlfn.XLOOKUP(Table_LuT_Begroting_Deelnemers[[#This Row],[ID Deelnemer]],Table_LuT_Deelnemers[ID Deelnemer],INDIRECT("Table_LuT_Deelnemers["&amp;E$1&amp;"]"),"&lt;Not in LuT&gt;",0,1)</f>
        <v>0</v>
      </c>
      <c r="F32" s="3" t="b" cm="1">
        <f t="array" aca="1" ref="F32" ca="1">_xlfn.XLOOKUP(Table_LuT_Begroting_Deelnemers[[#This Row],[ID Deelnemer]],Table_LuT_Deelnemers[ID Deelnemer],INDIRECT("Table_LuT_Deelnemers["&amp;F$1&amp;"]"),"&lt;Not in LuT&gt;",0,1)</f>
        <v>0</v>
      </c>
      <c r="G32" s="3" t="b" cm="1">
        <f t="array" aca="1" ref="G32" ca="1">_xlfn.XLOOKUP(Table_LuT_Begroting_Deelnemers[[#This Row],[ID Deelnemer]],Table_LuT_Deelnemers[ID Deelnemer],INDIRECT("Table_LuT_Deelnemers["&amp;G$1&amp;"]"),"&lt;Not in LuT&gt;",0,1)</f>
        <v>0</v>
      </c>
      <c r="H32" s="3" t="b" cm="1">
        <f t="array" ref="H32">Var_MKB_Consortium</f>
        <v>1</v>
      </c>
      <c r="I32" s="3" t="b">
        <f ca="1">Table_LuT_Begroting_Deelnemers[[#This Row],[Is OO?]]</f>
        <v>0</v>
      </c>
      <c r="J32" s="3" t="str" cm="1">
        <f t="array" aca="1" ref="J32" ca="1">_xlfn.XLOOKUP(Table_LuT_Begroting_Deelnemers[[#This Row],[ID Deelnemer]],Table_LuT_Deelnemers[ID Deelnemer],INDIRECT("Table_LuT_Deelnemers["&amp;J$1&amp;"]"),"&lt;Not in LuT&gt;",0,1)</f>
        <v/>
      </c>
      <c r="K32" s="3" t="str" cm="1">
        <f t="array" aca="1" ref="K32" ca="1">_xlfn.XLOOKUP(Table_LuT_Begroting_Deelnemers[[#This Row],[ID Deelnemer]],Table_LuT_Deelnemers[ID Deelnemer],INDIRECT("Table_LuT_Deelnemers["&amp;K$1&amp;"]"),"&lt;Not in LuT&gt;",0,1)</f>
        <v/>
      </c>
      <c r="L32" s="8" cm="1">
        <f t="array" aca="1" ref="L32" ca="1">INDIRECT("'"&amp;$A32&amp;"'!Kosten_"&amp;Table_LuT_Begroting_Deelnemers[[#This Row],[FO | IO | EO]])</f>
        <v>0</v>
      </c>
      <c r="M32" s="8" cm="1">
        <f t="array" aca="1" ref="M32" ca="1">_xlfn.LET(_xlpm.maxsub_aux,INDIRECT("'"&amp;$A32&amp;"'!Max_Subsidie_"&amp;Table_LuT_Begroting_Deelnemers[[#This Row],[FO | IO | EO]]),IF(Var_Sub.instr.="MKB",IF(Table_LuT_Begroting_Deelnemers[[#This Row],[Is MKB?]],MIN(_xlpm.maxsub_aux,Var_MaxSub_MKB_call_MKB),MIN(_xlpm.maxsub_aux,Var_MaxSub_MKB_call_OO)),_xlpm.maxsub_aux))</f>
        <v>0</v>
      </c>
      <c r="N32" s="8">
        <f ca="1">Table_LuT_Begroting_Deelnemers[[#This Row],[Kosten]]-Table_LuT_Begroting_Deelnemers[[#This Row],[Maximale Subsidie - HTSM]]</f>
        <v>0</v>
      </c>
      <c r="O32" s="387" cm="1">
        <f t="array" aca="1" ref="O32"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32" s="394">
        <f ca="1">Table_LuT_Begroting_Deelnemers[[#This Row],[Maximale Subsidie % - wettelijk]]*Table_LuT_Begroting_Deelnemers[[#This Row],[Kosten]]</f>
        <v>0</v>
      </c>
      <c r="Q32"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3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3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32" s="8">
        <f ca="1">Table_LuT_Begroting_Deelnemers[[#This Row],[Kosten OO]]-Table_LuT_Begroting_Deelnemers[[#This Row],[Maximale Subsidie OO - HTSM]]</f>
        <v>0</v>
      </c>
      <c r="U3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32"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3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3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32" s="8">
        <f ca="1">Table_LuT_Begroting_Deelnemers[[#This Row],[Kosten PP]]-Table_LuT_Begroting_Deelnemers[[#This Row],[Maximale Subsidie PP - HTSM]]</f>
        <v>0</v>
      </c>
      <c r="Z3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32"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3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3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32" s="8">
        <f ca="1">Table_LuT_Begroting_Deelnemers[[#This Row],[Kosten GB]]-Table_LuT_Begroting_Deelnemers[[#This Row],[Maximale Subsidie GB - HTSM]]</f>
        <v>0</v>
      </c>
      <c r="AE3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32"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3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3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32" s="8">
        <f ca="1">Table_LuT_Begroting_Deelnemers[[#This Row],[Kosten MKB]]-Table_LuT_Begroting_Deelnemers[[#This Row],[Maximale Subsidie MKB - HTSM]]</f>
        <v>0</v>
      </c>
      <c r="AJ3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3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32" s="8">
        <f ca="1">MIN(Table_LuT_Begroting_Deelnemers[[#This Row],[Gegenereerde Subsidie - OO+MKB]],Table_LuT_Begroting_Deelnemers[[#This Row],[Maximale Subsidie OO - overheid]])</f>
        <v>0</v>
      </c>
      <c r="AM32" s="8" cm="1">
        <f t="array" aca="1" ref="AM32"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32" s="8" cm="1">
        <f t="array" aca="1" ref="AN32" ca="1">IF(Table_LuT_Begroting_Deelnemers[[#This Row],[FO | IO | EO]]="FO",INDIRECT("Cash_"&amp;Table_LuT_Begroting_Deelnemers[[#This Row],[Verkorte Referentienaam Deelnemer]]),0)</f>
        <v>0</v>
      </c>
      <c r="AO32" s="8" cm="1">
        <f t="array" aca="1" ref="AO32" ca="1">IF(Table_LuT_Begroting_Deelnemers[[#This Row],[FO | IO | EO]]="FO",INDIRECT("Cash_Ontvangen_"&amp;Table_LuT_Begroting_Deelnemers[[#This Row],[Verkorte Referentienaam Deelnemer]]),0)</f>
        <v>0</v>
      </c>
      <c r="AP32" s="8">
        <f ca="1">IF(Table_LuT_Begroting_Deelnemers[[#This Row],[Is OO?]],Table_LuT_Begroting_Deelnemers[[#This Row],[Cash Ontvangen]],0)</f>
        <v>0</v>
      </c>
      <c r="AQ32" s="8" cm="1">
        <f t="array" aca="1" ref="AQ32" ca="1">IF(Table_LuT_Begroting_Deelnemers[[#This Row],[FO | IO | EO]]="FO",INDIRECT("In_kind_"&amp;Table_LuT_Begroting_Deelnemers[[#This Row],[Verkorte Referentienaam Deelnemer]]),0)</f>
        <v>0</v>
      </c>
      <c r="AR32" s="8" cm="1">
        <f t="array" aca="1" ref="AR32" ca="1">IF(Table_LuT_Begroting_Deelnemers[[#This Row],[FO | IO | EO]]="FO",INDIRECT("Overige_Subsidies_"&amp;Table_LuT_Begroting_Deelnemers[[#This Row],[Verkorte Referentienaam Deelnemer]]),0)</f>
        <v>0</v>
      </c>
      <c r="AS32" s="8" cm="1">
        <f t="array" aca="1" ref="AS32" ca="1">IF(Table_LuT_Begroting_Deelnemers[[#This Row],[FO | IO | EO]]="FO",INDIRECT("Subsidie_FO_"&amp;Table_LuT_Begroting_Deelnemers[[#This Row],[Verkorte Referentienaam Deelnemer]]),0)</f>
        <v>0</v>
      </c>
      <c r="AT32" s="8" cm="1">
        <f t="array" aca="1" ref="AT32" ca="1">IF(Table_LuT_Begroting_Deelnemers[[#This Row],[FO | IO | EO]]="IO",INDIRECT("Subsidie_IO_"&amp;Table_LuT_Begroting_Deelnemers[[#This Row],[Verkorte Referentienaam Deelnemer]]),0)</f>
        <v>0</v>
      </c>
      <c r="AU32" s="8" cm="1">
        <f t="array" aca="1" ref="AU32" ca="1">IF(Table_LuT_Begroting_Deelnemers[[#This Row],[FO | IO | EO]]="EO",INDIRECT("Subsidie_EO_"&amp;Table_LuT_Begroting_Deelnemers[[#This Row],[Verkorte Referentienaam Deelnemer]]),0)</f>
        <v>0</v>
      </c>
      <c r="AV32" s="8">
        <f ca="1">SUM(Table_LuT_Begroting_Deelnemers[[#This Row],[Gevraagde Subsidie FO]:[Gevraagde Subsidie EO]])</f>
        <v>0</v>
      </c>
      <c r="AW32" s="3"/>
      <c r="AX32" s="3"/>
      <c r="AY32" s="3"/>
      <c r="AZ32" s="3"/>
      <c r="BA32" s="3"/>
      <c r="BB32" s="3"/>
      <c r="BC32" s="3"/>
      <c r="BD32" s="3"/>
    </row>
    <row r="33" spans="1:52" ht="15" customHeight="1" x14ac:dyDescent="0.25">
      <c r="A33" s="2" t="s">
        <v>190</v>
      </c>
      <c r="B33" s="2" t="s">
        <v>82</v>
      </c>
      <c r="C33" s="3" t="str">
        <f>_xlfn.XLOOKUP(Table_LuT_Begroting_Deelnemers[[#This Row],[ID Deelnemer]],Table_LuT_Deelnemers[ID Deelnemer],Table_LuT_Deelnemers[Verkorte Referentienaam Deelnemer],"&lt;Not in LuT&gt;",0,1)</f>
        <v>DN12</v>
      </c>
      <c r="D33" s="3" t="str">
        <f>Table_LuT_Begroting_Deelnemers[[#This Row],[ID Deelnemer]]&amp;" # "&amp;Table_LuT_Begroting_Deelnemers[[#This Row],[FO | IO | EO]]</f>
        <v>Deelnemer 12 # IO</v>
      </c>
      <c r="E33" s="3" t="b" cm="1">
        <f t="array" aca="1" ref="E33" ca="1">_xlfn.XLOOKUP(Table_LuT_Begroting_Deelnemers[[#This Row],[ID Deelnemer]],Table_LuT_Deelnemers[ID Deelnemer],INDIRECT("Table_LuT_Deelnemers["&amp;E$1&amp;"]"),"&lt;Not in LuT&gt;",0,1)</f>
        <v>0</v>
      </c>
      <c r="F33" s="3" t="b" cm="1">
        <f t="array" aca="1" ref="F33" ca="1">_xlfn.XLOOKUP(Table_LuT_Begroting_Deelnemers[[#This Row],[ID Deelnemer]],Table_LuT_Deelnemers[ID Deelnemer],INDIRECT("Table_LuT_Deelnemers["&amp;F$1&amp;"]"),"&lt;Not in LuT&gt;",0,1)</f>
        <v>0</v>
      </c>
      <c r="G33" s="3" t="b" cm="1">
        <f t="array" aca="1" ref="G33" ca="1">_xlfn.XLOOKUP(Table_LuT_Begroting_Deelnemers[[#This Row],[ID Deelnemer]],Table_LuT_Deelnemers[ID Deelnemer],INDIRECT("Table_LuT_Deelnemers["&amp;G$1&amp;"]"),"&lt;Not in LuT&gt;",0,1)</f>
        <v>0</v>
      </c>
      <c r="H33" s="3" t="b" cm="1">
        <f t="array" ref="H33">Var_MKB_Consortium</f>
        <v>1</v>
      </c>
      <c r="I33" s="3" t="b">
        <f ca="1">Table_LuT_Begroting_Deelnemers[[#This Row],[Is OO?]]</f>
        <v>0</v>
      </c>
      <c r="J33" s="3" t="str" cm="1">
        <f t="array" aca="1" ref="J33" ca="1">_xlfn.XLOOKUP(Table_LuT_Begroting_Deelnemers[[#This Row],[ID Deelnemer]],Table_LuT_Deelnemers[ID Deelnemer],INDIRECT("Table_LuT_Deelnemers["&amp;J$1&amp;"]"),"&lt;Not in LuT&gt;",0,1)</f>
        <v/>
      </c>
      <c r="K33" s="3" t="str" cm="1">
        <f t="array" aca="1" ref="K33" ca="1">_xlfn.XLOOKUP(Table_LuT_Begroting_Deelnemers[[#This Row],[ID Deelnemer]],Table_LuT_Deelnemers[ID Deelnemer],INDIRECT("Table_LuT_Deelnemers["&amp;K$1&amp;"]"),"&lt;Not in LuT&gt;",0,1)</f>
        <v/>
      </c>
      <c r="L33" s="8" cm="1">
        <f t="array" aca="1" ref="L33" ca="1">INDIRECT("'"&amp;$A33&amp;"'!Kosten_"&amp;Table_LuT_Begroting_Deelnemers[[#This Row],[FO | IO | EO]])</f>
        <v>0</v>
      </c>
      <c r="M33" s="8" cm="1">
        <f t="array" aca="1" ref="M33" ca="1">_xlfn.LET(_xlpm.maxsub_aux,INDIRECT("'"&amp;$A33&amp;"'!Max_Subsidie_"&amp;Table_LuT_Begroting_Deelnemers[[#This Row],[FO | IO | EO]]),IF(Var_Sub.instr.="MKB",IF(Table_LuT_Begroting_Deelnemers[[#This Row],[Is MKB?]],MIN(_xlpm.maxsub_aux,Var_MaxSub_MKB_call_MKB),MIN(_xlpm.maxsub_aux,Var_MaxSub_MKB_call_OO)),_xlpm.maxsub_aux))</f>
        <v>0</v>
      </c>
      <c r="N33" s="8">
        <f ca="1">Table_LuT_Begroting_Deelnemers[[#This Row],[Kosten]]-Table_LuT_Begroting_Deelnemers[[#This Row],[Maximale Subsidie - HTSM]]</f>
        <v>0</v>
      </c>
      <c r="O33" s="387" cm="1">
        <f t="array" aca="1" ref="O33"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33" s="394">
        <f ca="1">Table_LuT_Begroting_Deelnemers[[#This Row],[Maximale Subsidie % - wettelijk]]*Table_LuT_Begroting_Deelnemers[[#This Row],[Kosten]]</f>
        <v>0</v>
      </c>
      <c r="Q33"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3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3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33" s="8">
        <f ca="1">Table_LuT_Begroting_Deelnemers[[#This Row],[Kosten OO]]-Table_LuT_Begroting_Deelnemers[[#This Row],[Maximale Subsidie OO - HTSM]]</f>
        <v>0</v>
      </c>
      <c r="U3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33"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3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3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33" s="8">
        <f ca="1">Table_LuT_Begroting_Deelnemers[[#This Row],[Kosten PP]]-Table_LuT_Begroting_Deelnemers[[#This Row],[Maximale Subsidie PP - HTSM]]</f>
        <v>0</v>
      </c>
      <c r="Z3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33"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3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3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33" s="8">
        <f ca="1">Table_LuT_Begroting_Deelnemers[[#This Row],[Kosten GB]]-Table_LuT_Begroting_Deelnemers[[#This Row],[Maximale Subsidie GB - HTSM]]</f>
        <v>0</v>
      </c>
      <c r="AE3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33"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3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3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33" s="8">
        <f ca="1">Table_LuT_Begroting_Deelnemers[[#This Row],[Kosten MKB]]-Table_LuT_Begroting_Deelnemers[[#This Row],[Maximale Subsidie MKB - HTSM]]</f>
        <v>0</v>
      </c>
      <c r="AJ3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3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33" s="8">
        <f ca="1">MIN(Table_LuT_Begroting_Deelnemers[[#This Row],[Gegenereerde Subsidie - OO+MKB]],Table_LuT_Begroting_Deelnemers[[#This Row],[Maximale Subsidie OO - overheid]])</f>
        <v>0</v>
      </c>
      <c r="AM33" s="8" cm="1">
        <f t="array" aca="1" ref="AM33"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33" s="8" cm="1">
        <f t="array" aca="1" ref="AN33" ca="1">IF(Table_LuT_Begroting_Deelnemers[[#This Row],[FO | IO | EO]]="FO",INDIRECT("Cash_"&amp;Table_LuT_Begroting_Deelnemers[[#This Row],[Verkorte Referentienaam Deelnemer]]),0)</f>
        <v>0</v>
      </c>
      <c r="AO33" s="8" cm="1">
        <f t="array" aca="1" ref="AO33" ca="1">IF(Table_LuT_Begroting_Deelnemers[[#This Row],[FO | IO | EO]]="FO",INDIRECT("Cash_Ontvangen_"&amp;Table_LuT_Begroting_Deelnemers[[#This Row],[Verkorte Referentienaam Deelnemer]]),0)</f>
        <v>0</v>
      </c>
      <c r="AP33" s="8">
        <f ca="1">IF(Table_LuT_Begroting_Deelnemers[[#This Row],[Is OO?]],Table_LuT_Begroting_Deelnemers[[#This Row],[Cash Ontvangen]],0)</f>
        <v>0</v>
      </c>
      <c r="AQ33" s="8" cm="1">
        <f t="array" aca="1" ref="AQ33" ca="1">IF(Table_LuT_Begroting_Deelnemers[[#This Row],[FO | IO | EO]]="FO",INDIRECT("In_kind_"&amp;Table_LuT_Begroting_Deelnemers[[#This Row],[Verkorte Referentienaam Deelnemer]]),0)</f>
        <v>0</v>
      </c>
      <c r="AR33" s="8" cm="1">
        <f t="array" aca="1" ref="AR33" ca="1">IF(Table_LuT_Begroting_Deelnemers[[#This Row],[FO | IO | EO]]="FO",INDIRECT("Overige_Subsidies_"&amp;Table_LuT_Begroting_Deelnemers[[#This Row],[Verkorte Referentienaam Deelnemer]]),0)</f>
        <v>0</v>
      </c>
      <c r="AS33" s="8" cm="1">
        <f t="array" aca="1" ref="AS33" ca="1">IF(Table_LuT_Begroting_Deelnemers[[#This Row],[FO | IO | EO]]="FO",INDIRECT("Subsidie_FO_"&amp;Table_LuT_Begroting_Deelnemers[[#This Row],[Verkorte Referentienaam Deelnemer]]),0)</f>
        <v>0</v>
      </c>
      <c r="AT33" s="8" cm="1">
        <f t="array" aca="1" ref="AT33" ca="1">IF(Table_LuT_Begroting_Deelnemers[[#This Row],[FO | IO | EO]]="IO",INDIRECT("Subsidie_IO_"&amp;Table_LuT_Begroting_Deelnemers[[#This Row],[Verkorte Referentienaam Deelnemer]]),0)</f>
        <v>0</v>
      </c>
      <c r="AU33" s="8" cm="1">
        <f t="array" aca="1" ref="AU33" ca="1">IF(Table_LuT_Begroting_Deelnemers[[#This Row],[FO | IO | EO]]="EO",INDIRECT("Subsidie_EO_"&amp;Table_LuT_Begroting_Deelnemers[[#This Row],[Verkorte Referentienaam Deelnemer]]),0)</f>
        <v>0</v>
      </c>
      <c r="AV33" s="8">
        <f ca="1">SUM(Table_LuT_Begroting_Deelnemers[[#This Row],[Gevraagde Subsidie FO]:[Gevraagde Subsidie EO]])</f>
        <v>0</v>
      </c>
      <c r="AW33" s="3"/>
      <c r="AX33" s="3"/>
      <c r="AY33" s="3"/>
      <c r="AZ33" s="3"/>
    </row>
    <row r="34" spans="1:52" ht="15" customHeight="1" x14ac:dyDescent="0.25">
      <c r="A34" s="2" t="s">
        <v>191</v>
      </c>
      <c r="B34" s="2" t="s">
        <v>82</v>
      </c>
      <c r="C34" s="3" t="str">
        <f>_xlfn.XLOOKUP(Table_LuT_Begroting_Deelnemers[[#This Row],[ID Deelnemer]],Table_LuT_Deelnemers[ID Deelnemer],Table_LuT_Deelnemers[Verkorte Referentienaam Deelnemer],"&lt;Not in LuT&gt;",0,1)</f>
        <v>DN13</v>
      </c>
      <c r="D34" s="3" t="str">
        <f>Table_LuT_Begroting_Deelnemers[[#This Row],[ID Deelnemer]]&amp;" # "&amp;Table_LuT_Begroting_Deelnemers[[#This Row],[FO | IO | EO]]</f>
        <v>Deelnemer 13 # IO</v>
      </c>
      <c r="E34" s="3" t="b" cm="1">
        <f t="array" aca="1" ref="E34" ca="1">_xlfn.XLOOKUP(Table_LuT_Begroting_Deelnemers[[#This Row],[ID Deelnemer]],Table_LuT_Deelnemers[ID Deelnemer],INDIRECT("Table_LuT_Deelnemers["&amp;E$1&amp;"]"),"&lt;Not in LuT&gt;",0,1)</f>
        <v>0</v>
      </c>
      <c r="F34" s="3" t="b" cm="1">
        <f t="array" aca="1" ref="F34" ca="1">_xlfn.XLOOKUP(Table_LuT_Begroting_Deelnemers[[#This Row],[ID Deelnemer]],Table_LuT_Deelnemers[ID Deelnemer],INDIRECT("Table_LuT_Deelnemers["&amp;F$1&amp;"]"),"&lt;Not in LuT&gt;",0,1)</f>
        <v>0</v>
      </c>
      <c r="G34" s="3" t="b" cm="1">
        <f t="array" aca="1" ref="G34" ca="1">_xlfn.XLOOKUP(Table_LuT_Begroting_Deelnemers[[#This Row],[ID Deelnemer]],Table_LuT_Deelnemers[ID Deelnemer],INDIRECT("Table_LuT_Deelnemers["&amp;G$1&amp;"]"),"&lt;Not in LuT&gt;",0,1)</f>
        <v>0</v>
      </c>
      <c r="H34" s="3" t="b" cm="1">
        <f t="array" ref="H34">Var_MKB_Consortium</f>
        <v>1</v>
      </c>
      <c r="I34" s="3" t="b">
        <f ca="1">Table_LuT_Begroting_Deelnemers[[#This Row],[Is OO?]]</f>
        <v>0</v>
      </c>
      <c r="J34" s="3" t="str" cm="1">
        <f t="array" aca="1" ref="J34" ca="1">_xlfn.XLOOKUP(Table_LuT_Begroting_Deelnemers[[#This Row],[ID Deelnemer]],Table_LuT_Deelnemers[ID Deelnemer],INDIRECT("Table_LuT_Deelnemers["&amp;J$1&amp;"]"),"&lt;Not in LuT&gt;",0,1)</f>
        <v/>
      </c>
      <c r="K34" s="3" t="str" cm="1">
        <f t="array" aca="1" ref="K34" ca="1">_xlfn.XLOOKUP(Table_LuT_Begroting_Deelnemers[[#This Row],[ID Deelnemer]],Table_LuT_Deelnemers[ID Deelnemer],INDIRECT("Table_LuT_Deelnemers["&amp;K$1&amp;"]"),"&lt;Not in LuT&gt;",0,1)</f>
        <v/>
      </c>
      <c r="L34" s="8" cm="1">
        <f t="array" aca="1" ref="L34" ca="1">INDIRECT("'"&amp;$A34&amp;"'!Kosten_"&amp;Table_LuT_Begroting_Deelnemers[[#This Row],[FO | IO | EO]])</f>
        <v>0</v>
      </c>
      <c r="M34" s="8" cm="1">
        <f t="array" aca="1" ref="M34" ca="1">_xlfn.LET(_xlpm.maxsub_aux,INDIRECT("'"&amp;$A34&amp;"'!Max_Subsidie_"&amp;Table_LuT_Begroting_Deelnemers[[#This Row],[FO | IO | EO]]),IF(Var_Sub.instr.="MKB",IF(Table_LuT_Begroting_Deelnemers[[#This Row],[Is MKB?]],MIN(_xlpm.maxsub_aux,Var_MaxSub_MKB_call_MKB),MIN(_xlpm.maxsub_aux,Var_MaxSub_MKB_call_OO)),_xlpm.maxsub_aux))</f>
        <v>0</v>
      </c>
      <c r="N34" s="8">
        <f ca="1">Table_LuT_Begroting_Deelnemers[[#This Row],[Kosten]]-Table_LuT_Begroting_Deelnemers[[#This Row],[Maximale Subsidie - HTSM]]</f>
        <v>0</v>
      </c>
      <c r="O34" s="387" cm="1">
        <f t="array" aca="1" ref="O34"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34" s="394">
        <f ca="1">Table_LuT_Begroting_Deelnemers[[#This Row],[Maximale Subsidie % - wettelijk]]*Table_LuT_Begroting_Deelnemers[[#This Row],[Kosten]]</f>
        <v>0</v>
      </c>
      <c r="Q34"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3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3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34" s="8">
        <f ca="1">Table_LuT_Begroting_Deelnemers[[#This Row],[Kosten OO]]-Table_LuT_Begroting_Deelnemers[[#This Row],[Maximale Subsidie OO - HTSM]]</f>
        <v>0</v>
      </c>
      <c r="U3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34"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3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3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34" s="8">
        <f ca="1">Table_LuT_Begroting_Deelnemers[[#This Row],[Kosten PP]]-Table_LuT_Begroting_Deelnemers[[#This Row],[Maximale Subsidie PP - HTSM]]</f>
        <v>0</v>
      </c>
      <c r="Z3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34"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3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3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34" s="8">
        <f ca="1">Table_LuT_Begroting_Deelnemers[[#This Row],[Kosten GB]]-Table_LuT_Begroting_Deelnemers[[#This Row],[Maximale Subsidie GB - HTSM]]</f>
        <v>0</v>
      </c>
      <c r="AE3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34"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3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3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34" s="8">
        <f ca="1">Table_LuT_Begroting_Deelnemers[[#This Row],[Kosten MKB]]-Table_LuT_Begroting_Deelnemers[[#This Row],[Maximale Subsidie MKB - HTSM]]</f>
        <v>0</v>
      </c>
      <c r="AJ3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3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34" s="8">
        <f ca="1">MIN(Table_LuT_Begroting_Deelnemers[[#This Row],[Gegenereerde Subsidie - OO+MKB]],Table_LuT_Begroting_Deelnemers[[#This Row],[Maximale Subsidie OO - overheid]])</f>
        <v>0</v>
      </c>
      <c r="AM34" s="8" cm="1">
        <f t="array" aca="1" ref="AM34"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34" s="8" cm="1">
        <f t="array" aca="1" ref="AN34" ca="1">IF(Table_LuT_Begroting_Deelnemers[[#This Row],[FO | IO | EO]]="FO",INDIRECT("Cash_"&amp;Table_LuT_Begroting_Deelnemers[[#This Row],[Verkorte Referentienaam Deelnemer]]),0)</f>
        <v>0</v>
      </c>
      <c r="AO34" s="8" cm="1">
        <f t="array" aca="1" ref="AO34" ca="1">IF(Table_LuT_Begroting_Deelnemers[[#This Row],[FO | IO | EO]]="FO",INDIRECT("Cash_Ontvangen_"&amp;Table_LuT_Begroting_Deelnemers[[#This Row],[Verkorte Referentienaam Deelnemer]]),0)</f>
        <v>0</v>
      </c>
      <c r="AP34" s="8">
        <f ca="1">IF(Table_LuT_Begroting_Deelnemers[[#This Row],[Is OO?]],Table_LuT_Begroting_Deelnemers[[#This Row],[Cash Ontvangen]],0)</f>
        <v>0</v>
      </c>
      <c r="AQ34" s="8" cm="1">
        <f t="array" aca="1" ref="AQ34" ca="1">IF(Table_LuT_Begroting_Deelnemers[[#This Row],[FO | IO | EO]]="FO",INDIRECT("In_kind_"&amp;Table_LuT_Begroting_Deelnemers[[#This Row],[Verkorte Referentienaam Deelnemer]]),0)</f>
        <v>0</v>
      </c>
      <c r="AR34" s="8" cm="1">
        <f t="array" aca="1" ref="AR34" ca="1">IF(Table_LuT_Begroting_Deelnemers[[#This Row],[FO | IO | EO]]="FO",INDIRECT("Overige_Subsidies_"&amp;Table_LuT_Begroting_Deelnemers[[#This Row],[Verkorte Referentienaam Deelnemer]]),0)</f>
        <v>0</v>
      </c>
      <c r="AS34" s="8" cm="1">
        <f t="array" aca="1" ref="AS34" ca="1">IF(Table_LuT_Begroting_Deelnemers[[#This Row],[FO | IO | EO]]="FO",INDIRECT("Subsidie_FO_"&amp;Table_LuT_Begroting_Deelnemers[[#This Row],[Verkorte Referentienaam Deelnemer]]),0)</f>
        <v>0</v>
      </c>
      <c r="AT34" s="8" cm="1">
        <f t="array" aca="1" ref="AT34" ca="1">IF(Table_LuT_Begroting_Deelnemers[[#This Row],[FO | IO | EO]]="IO",INDIRECT("Subsidie_IO_"&amp;Table_LuT_Begroting_Deelnemers[[#This Row],[Verkorte Referentienaam Deelnemer]]),0)</f>
        <v>0</v>
      </c>
      <c r="AU34" s="8" cm="1">
        <f t="array" aca="1" ref="AU34" ca="1">IF(Table_LuT_Begroting_Deelnemers[[#This Row],[FO | IO | EO]]="EO",INDIRECT("Subsidie_EO_"&amp;Table_LuT_Begroting_Deelnemers[[#This Row],[Verkorte Referentienaam Deelnemer]]),0)</f>
        <v>0</v>
      </c>
      <c r="AV34" s="8">
        <f ca="1">SUM(Table_LuT_Begroting_Deelnemers[[#This Row],[Gevraagde Subsidie FO]:[Gevraagde Subsidie EO]])</f>
        <v>0</v>
      </c>
      <c r="AW34" s="3"/>
      <c r="AX34" s="3"/>
      <c r="AY34" s="3"/>
      <c r="AZ34" s="3"/>
    </row>
    <row r="35" spans="1:52" ht="15" customHeight="1" x14ac:dyDescent="0.25">
      <c r="A35" s="2" t="s">
        <v>192</v>
      </c>
      <c r="B35" s="2" t="s">
        <v>82</v>
      </c>
      <c r="C35" s="3" t="str">
        <f>_xlfn.XLOOKUP(Table_LuT_Begroting_Deelnemers[[#This Row],[ID Deelnemer]],Table_LuT_Deelnemers[ID Deelnemer],Table_LuT_Deelnemers[Verkorte Referentienaam Deelnemer],"&lt;Not in LuT&gt;",0,1)</f>
        <v>DN14</v>
      </c>
      <c r="D35" s="3" t="str">
        <f>Table_LuT_Begroting_Deelnemers[[#This Row],[ID Deelnemer]]&amp;" # "&amp;Table_LuT_Begroting_Deelnemers[[#This Row],[FO | IO | EO]]</f>
        <v>Deelnemer 14 # IO</v>
      </c>
      <c r="E35" s="3" t="b" cm="1">
        <f t="array" aca="1" ref="E35" ca="1">_xlfn.XLOOKUP(Table_LuT_Begroting_Deelnemers[[#This Row],[ID Deelnemer]],Table_LuT_Deelnemers[ID Deelnemer],INDIRECT("Table_LuT_Deelnemers["&amp;E$1&amp;"]"),"&lt;Not in LuT&gt;",0,1)</f>
        <v>0</v>
      </c>
      <c r="F35" s="3" t="b" cm="1">
        <f t="array" aca="1" ref="F35" ca="1">_xlfn.XLOOKUP(Table_LuT_Begroting_Deelnemers[[#This Row],[ID Deelnemer]],Table_LuT_Deelnemers[ID Deelnemer],INDIRECT("Table_LuT_Deelnemers["&amp;F$1&amp;"]"),"&lt;Not in LuT&gt;",0,1)</f>
        <v>0</v>
      </c>
      <c r="G35" s="3" t="b" cm="1">
        <f t="array" aca="1" ref="G35" ca="1">_xlfn.XLOOKUP(Table_LuT_Begroting_Deelnemers[[#This Row],[ID Deelnemer]],Table_LuT_Deelnemers[ID Deelnemer],INDIRECT("Table_LuT_Deelnemers["&amp;G$1&amp;"]"),"&lt;Not in LuT&gt;",0,1)</f>
        <v>0</v>
      </c>
      <c r="H35" s="3" t="b" cm="1">
        <f t="array" ref="H35">Var_MKB_Consortium</f>
        <v>1</v>
      </c>
      <c r="I35" s="3" t="b">
        <f ca="1">Table_LuT_Begroting_Deelnemers[[#This Row],[Is OO?]]</f>
        <v>0</v>
      </c>
      <c r="J35" s="3" t="str" cm="1">
        <f t="array" aca="1" ref="J35" ca="1">_xlfn.XLOOKUP(Table_LuT_Begroting_Deelnemers[[#This Row],[ID Deelnemer]],Table_LuT_Deelnemers[ID Deelnemer],INDIRECT("Table_LuT_Deelnemers["&amp;J$1&amp;"]"),"&lt;Not in LuT&gt;",0,1)</f>
        <v/>
      </c>
      <c r="K35" s="3" t="str" cm="1">
        <f t="array" aca="1" ref="K35" ca="1">_xlfn.XLOOKUP(Table_LuT_Begroting_Deelnemers[[#This Row],[ID Deelnemer]],Table_LuT_Deelnemers[ID Deelnemer],INDIRECT("Table_LuT_Deelnemers["&amp;K$1&amp;"]"),"&lt;Not in LuT&gt;",0,1)</f>
        <v/>
      </c>
      <c r="L35" s="8" cm="1">
        <f t="array" aca="1" ref="L35" ca="1">INDIRECT("'"&amp;$A35&amp;"'!Kosten_"&amp;Table_LuT_Begroting_Deelnemers[[#This Row],[FO | IO | EO]])</f>
        <v>0</v>
      </c>
      <c r="M35" s="8" cm="1">
        <f t="array" aca="1" ref="M35" ca="1">_xlfn.LET(_xlpm.maxsub_aux,INDIRECT("'"&amp;$A35&amp;"'!Max_Subsidie_"&amp;Table_LuT_Begroting_Deelnemers[[#This Row],[FO | IO | EO]]),IF(Var_Sub.instr.="MKB",IF(Table_LuT_Begroting_Deelnemers[[#This Row],[Is MKB?]],MIN(_xlpm.maxsub_aux,Var_MaxSub_MKB_call_MKB),MIN(_xlpm.maxsub_aux,Var_MaxSub_MKB_call_OO)),_xlpm.maxsub_aux))</f>
        <v>0</v>
      </c>
      <c r="N35" s="8">
        <f ca="1">Table_LuT_Begroting_Deelnemers[[#This Row],[Kosten]]-Table_LuT_Begroting_Deelnemers[[#This Row],[Maximale Subsidie - HTSM]]</f>
        <v>0</v>
      </c>
      <c r="O35" s="387" cm="1">
        <f t="array" aca="1" ref="O35"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35" s="394">
        <f ca="1">Table_LuT_Begroting_Deelnemers[[#This Row],[Maximale Subsidie % - wettelijk]]*Table_LuT_Begroting_Deelnemers[[#This Row],[Kosten]]</f>
        <v>0</v>
      </c>
      <c r="Q35"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3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3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35" s="8">
        <f ca="1">Table_LuT_Begroting_Deelnemers[[#This Row],[Kosten OO]]-Table_LuT_Begroting_Deelnemers[[#This Row],[Maximale Subsidie OO - HTSM]]</f>
        <v>0</v>
      </c>
      <c r="U3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35"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3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3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35" s="8">
        <f ca="1">Table_LuT_Begroting_Deelnemers[[#This Row],[Kosten PP]]-Table_LuT_Begroting_Deelnemers[[#This Row],[Maximale Subsidie PP - HTSM]]</f>
        <v>0</v>
      </c>
      <c r="Z3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35"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3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3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35" s="8">
        <f ca="1">Table_LuT_Begroting_Deelnemers[[#This Row],[Kosten GB]]-Table_LuT_Begroting_Deelnemers[[#This Row],[Maximale Subsidie GB - HTSM]]</f>
        <v>0</v>
      </c>
      <c r="AE3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35"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3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3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35" s="8">
        <f ca="1">Table_LuT_Begroting_Deelnemers[[#This Row],[Kosten MKB]]-Table_LuT_Begroting_Deelnemers[[#This Row],[Maximale Subsidie MKB - HTSM]]</f>
        <v>0</v>
      </c>
      <c r="AJ3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3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35" s="8">
        <f ca="1">MIN(Table_LuT_Begroting_Deelnemers[[#This Row],[Gegenereerde Subsidie - OO+MKB]],Table_LuT_Begroting_Deelnemers[[#This Row],[Maximale Subsidie OO - overheid]])</f>
        <v>0</v>
      </c>
      <c r="AM35" s="8" cm="1">
        <f t="array" aca="1" ref="AM35"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35" s="8" cm="1">
        <f t="array" aca="1" ref="AN35" ca="1">IF(Table_LuT_Begroting_Deelnemers[[#This Row],[FO | IO | EO]]="FO",INDIRECT("Cash_"&amp;Table_LuT_Begroting_Deelnemers[[#This Row],[Verkorte Referentienaam Deelnemer]]),0)</f>
        <v>0</v>
      </c>
      <c r="AO35" s="8" cm="1">
        <f t="array" aca="1" ref="AO35" ca="1">IF(Table_LuT_Begroting_Deelnemers[[#This Row],[FO | IO | EO]]="FO",INDIRECT("Cash_Ontvangen_"&amp;Table_LuT_Begroting_Deelnemers[[#This Row],[Verkorte Referentienaam Deelnemer]]),0)</f>
        <v>0</v>
      </c>
      <c r="AP35" s="8">
        <f ca="1">IF(Table_LuT_Begroting_Deelnemers[[#This Row],[Is OO?]],Table_LuT_Begroting_Deelnemers[[#This Row],[Cash Ontvangen]],0)</f>
        <v>0</v>
      </c>
      <c r="AQ35" s="8" cm="1">
        <f t="array" aca="1" ref="AQ35" ca="1">IF(Table_LuT_Begroting_Deelnemers[[#This Row],[FO | IO | EO]]="FO",INDIRECT("In_kind_"&amp;Table_LuT_Begroting_Deelnemers[[#This Row],[Verkorte Referentienaam Deelnemer]]),0)</f>
        <v>0</v>
      </c>
      <c r="AR35" s="8" cm="1">
        <f t="array" aca="1" ref="AR35" ca="1">IF(Table_LuT_Begroting_Deelnemers[[#This Row],[FO | IO | EO]]="FO",INDIRECT("Overige_Subsidies_"&amp;Table_LuT_Begroting_Deelnemers[[#This Row],[Verkorte Referentienaam Deelnemer]]),0)</f>
        <v>0</v>
      </c>
      <c r="AS35" s="8" cm="1">
        <f t="array" aca="1" ref="AS35" ca="1">IF(Table_LuT_Begroting_Deelnemers[[#This Row],[FO | IO | EO]]="FO",INDIRECT("Subsidie_FO_"&amp;Table_LuT_Begroting_Deelnemers[[#This Row],[Verkorte Referentienaam Deelnemer]]),0)</f>
        <v>0</v>
      </c>
      <c r="AT35" s="8" cm="1">
        <f t="array" aca="1" ref="AT35" ca="1">IF(Table_LuT_Begroting_Deelnemers[[#This Row],[FO | IO | EO]]="IO",INDIRECT("Subsidie_IO_"&amp;Table_LuT_Begroting_Deelnemers[[#This Row],[Verkorte Referentienaam Deelnemer]]),0)</f>
        <v>0</v>
      </c>
      <c r="AU35" s="8" cm="1">
        <f t="array" aca="1" ref="AU35" ca="1">IF(Table_LuT_Begroting_Deelnemers[[#This Row],[FO | IO | EO]]="EO",INDIRECT("Subsidie_EO_"&amp;Table_LuT_Begroting_Deelnemers[[#This Row],[Verkorte Referentienaam Deelnemer]]),0)</f>
        <v>0</v>
      </c>
      <c r="AV35" s="8">
        <f ca="1">SUM(Table_LuT_Begroting_Deelnemers[[#This Row],[Gevraagde Subsidie FO]:[Gevraagde Subsidie EO]])</f>
        <v>0</v>
      </c>
      <c r="AW35" s="3"/>
      <c r="AX35" s="3"/>
      <c r="AY35" s="3"/>
      <c r="AZ35" s="3"/>
    </row>
    <row r="36" spans="1:52" ht="15" customHeight="1" x14ac:dyDescent="0.25">
      <c r="A36" s="2" t="s">
        <v>193</v>
      </c>
      <c r="B36" s="2" t="s">
        <v>82</v>
      </c>
      <c r="C36" s="3" t="str">
        <f>_xlfn.XLOOKUP(Table_LuT_Begroting_Deelnemers[[#This Row],[ID Deelnemer]],Table_LuT_Deelnemers[ID Deelnemer],Table_LuT_Deelnemers[Verkorte Referentienaam Deelnemer],"&lt;Not in LuT&gt;",0,1)</f>
        <v>DN15</v>
      </c>
      <c r="D36" s="3" t="str">
        <f>Table_LuT_Begroting_Deelnemers[[#This Row],[ID Deelnemer]]&amp;" # "&amp;Table_LuT_Begroting_Deelnemers[[#This Row],[FO | IO | EO]]</f>
        <v>Deelnemer 15 # IO</v>
      </c>
      <c r="E36" s="3" t="b" cm="1">
        <f t="array" aca="1" ref="E36" ca="1">_xlfn.XLOOKUP(Table_LuT_Begroting_Deelnemers[[#This Row],[ID Deelnemer]],Table_LuT_Deelnemers[ID Deelnemer],INDIRECT("Table_LuT_Deelnemers["&amp;E$1&amp;"]"),"&lt;Not in LuT&gt;",0,1)</f>
        <v>0</v>
      </c>
      <c r="F36" s="3" t="b" cm="1">
        <f t="array" aca="1" ref="F36" ca="1">_xlfn.XLOOKUP(Table_LuT_Begroting_Deelnemers[[#This Row],[ID Deelnemer]],Table_LuT_Deelnemers[ID Deelnemer],INDIRECT("Table_LuT_Deelnemers["&amp;F$1&amp;"]"),"&lt;Not in LuT&gt;",0,1)</f>
        <v>0</v>
      </c>
      <c r="G36" s="3" t="b" cm="1">
        <f t="array" aca="1" ref="G36" ca="1">_xlfn.XLOOKUP(Table_LuT_Begroting_Deelnemers[[#This Row],[ID Deelnemer]],Table_LuT_Deelnemers[ID Deelnemer],INDIRECT("Table_LuT_Deelnemers["&amp;G$1&amp;"]"),"&lt;Not in LuT&gt;",0,1)</f>
        <v>0</v>
      </c>
      <c r="H36" s="3" t="b" cm="1">
        <f t="array" ref="H36">Var_MKB_Consortium</f>
        <v>1</v>
      </c>
      <c r="I36" s="3" t="b">
        <f ca="1">Table_LuT_Begroting_Deelnemers[[#This Row],[Is OO?]]</f>
        <v>0</v>
      </c>
      <c r="J36" s="3" t="str" cm="1">
        <f t="array" aca="1" ref="J36" ca="1">_xlfn.XLOOKUP(Table_LuT_Begroting_Deelnemers[[#This Row],[ID Deelnemer]],Table_LuT_Deelnemers[ID Deelnemer],INDIRECT("Table_LuT_Deelnemers["&amp;J$1&amp;"]"),"&lt;Not in LuT&gt;",0,1)</f>
        <v/>
      </c>
      <c r="K36" s="3" t="str" cm="1">
        <f t="array" aca="1" ref="K36" ca="1">_xlfn.XLOOKUP(Table_LuT_Begroting_Deelnemers[[#This Row],[ID Deelnemer]],Table_LuT_Deelnemers[ID Deelnemer],INDIRECT("Table_LuT_Deelnemers["&amp;K$1&amp;"]"),"&lt;Not in LuT&gt;",0,1)</f>
        <v/>
      </c>
      <c r="L36" s="8" cm="1">
        <f t="array" aca="1" ref="L36" ca="1">INDIRECT("'"&amp;$A36&amp;"'!Kosten_"&amp;Table_LuT_Begroting_Deelnemers[[#This Row],[FO | IO | EO]])</f>
        <v>0</v>
      </c>
      <c r="M36" s="8" cm="1">
        <f t="array" aca="1" ref="M36" ca="1">_xlfn.LET(_xlpm.maxsub_aux,INDIRECT("'"&amp;$A36&amp;"'!Max_Subsidie_"&amp;Table_LuT_Begroting_Deelnemers[[#This Row],[FO | IO | EO]]),IF(Var_Sub.instr.="MKB",IF(Table_LuT_Begroting_Deelnemers[[#This Row],[Is MKB?]],MIN(_xlpm.maxsub_aux,Var_MaxSub_MKB_call_MKB),MIN(_xlpm.maxsub_aux,Var_MaxSub_MKB_call_OO)),_xlpm.maxsub_aux))</f>
        <v>0</v>
      </c>
      <c r="N36" s="8">
        <f ca="1">Table_LuT_Begroting_Deelnemers[[#This Row],[Kosten]]-Table_LuT_Begroting_Deelnemers[[#This Row],[Maximale Subsidie - HTSM]]</f>
        <v>0</v>
      </c>
      <c r="O36" s="387" cm="1">
        <f t="array" aca="1" ref="O36"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36" s="394">
        <f ca="1">Table_LuT_Begroting_Deelnemers[[#This Row],[Maximale Subsidie % - wettelijk]]*Table_LuT_Begroting_Deelnemers[[#This Row],[Kosten]]</f>
        <v>0</v>
      </c>
      <c r="Q36"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3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3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36" s="8">
        <f ca="1">Table_LuT_Begroting_Deelnemers[[#This Row],[Kosten OO]]-Table_LuT_Begroting_Deelnemers[[#This Row],[Maximale Subsidie OO - HTSM]]</f>
        <v>0</v>
      </c>
      <c r="U3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36"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3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3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36" s="8">
        <f ca="1">Table_LuT_Begroting_Deelnemers[[#This Row],[Kosten PP]]-Table_LuT_Begroting_Deelnemers[[#This Row],[Maximale Subsidie PP - HTSM]]</f>
        <v>0</v>
      </c>
      <c r="Z3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36"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3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3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36" s="8">
        <f ca="1">Table_LuT_Begroting_Deelnemers[[#This Row],[Kosten GB]]-Table_LuT_Begroting_Deelnemers[[#This Row],[Maximale Subsidie GB - HTSM]]</f>
        <v>0</v>
      </c>
      <c r="AE3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36"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3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3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36" s="8">
        <f ca="1">Table_LuT_Begroting_Deelnemers[[#This Row],[Kosten MKB]]-Table_LuT_Begroting_Deelnemers[[#This Row],[Maximale Subsidie MKB - HTSM]]</f>
        <v>0</v>
      </c>
      <c r="AJ3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3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36" s="8">
        <f ca="1">MIN(Table_LuT_Begroting_Deelnemers[[#This Row],[Gegenereerde Subsidie - OO+MKB]],Table_LuT_Begroting_Deelnemers[[#This Row],[Maximale Subsidie OO - overheid]])</f>
        <v>0</v>
      </c>
      <c r="AM36" s="8" cm="1">
        <f t="array" aca="1" ref="AM36"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36" s="8" cm="1">
        <f t="array" aca="1" ref="AN36" ca="1">IF(Table_LuT_Begroting_Deelnemers[[#This Row],[FO | IO | EO]]="FO",INDIRECT("Cash_"&amp;Table_LuT_Begroting_Deelnemers[[#This Row],[Verkorte Referentienaam Deelnemer]]),0)</f>
        <v>0</v>
      </c>
      <c r="AO36" s="8" cm="1">
        <f t="array" aca="1" ref="AO36" ca="1">IF(Table_LuT_Begroting_Deelnemers[[#This Row],[FO | IO | EO]]="FO",INDIRECT("Cash_Ontvangen_"&amp;Table_LuT_Begroting_Deelnemers[[#This Row],[Verkorte Referentienaam Deelnemer]]),0)</f>
        <v>0</v>
      </c>
      <c r="AP36" s="8">
        <f ca="1">IF(Table_LuT_Begroting_Deelnemers[[#This Row],[Is OO?]],Table_LuT_Begroting_Deelnemers[[#This Row],[Cash Ontvangen]],0)</f>
        <v>0</v>
      </c>
      <c r="AQ36" s="8" cm="1">
        <f t="array" aca="1" ref="AQ36" ca="1">IF(Table_LuT_Begroting_Deelnemers[[#This Row],[FO | IO | EO]]="FO",INDIRECT("In_kind_"&amp;Table_LuT_Begroting_Deelnemers[[#This Row],[Verkorte Referentienaam Deelnemer]]),0)</f>
        <v>0</v>
      </c>
      <c r="AR36" s="8" cm="1">
        <f t="array" aca="1" ref="AR36" ca="1">IF(Table_LuT_Begroting_Deelnemers[[#This Row],[FO | IO | EO]]="FO",INDIRECT("Overige_Subsidies_"&amp;Table_LuT_Begroting_Deelnemers[[#This Row],[Verkorte Referentienaam Deelnemer]]),0)</f>
        <v>0</v>
      </c>
      <c r="AS36" s="8" cm="1">
        <f t="array" aca="1" ref="AS36" ca="1">IF(Table_LuT_Begroting_Deelnemers[[#This Row],[FO | IO | EO]]="FO",INDIRECT("Subsidie_FO_"&amp;Table_LuT_Begroting_Deelnemers[[#This Row],[Verkorte Referentienaam Deelnemer]]),0)</f>
        <v>0</v>
      </c>
      <c r="AT36" s="8" cm="1">
        <f t="array" aca="1" ref="AT36" ca="1">IF(Table_LuT_Begroting_Deelnemers[[#This Row],[FO | IO | EO]]="IO",INDIRECT("Subsidie_IO_"&amp;Table_LuT_Begroting_Deelnemers[[#This Row],[Verkorte Referentienaam Deelnemer]]),0)</f>
        <v>0</v>
      </c>
      <c r="AU36" s="8" cm="1">
        <f t="array" aca="1" ref="AU36" ca="1">IF(Table_LuT_Begroting_Deelnemers[[#This Row],[FO | IO | EO]]="EO",INDIRECT("Subsidie_EO_"&amp;Table_LuT_Begroting_Deelnemers[[#This Row],[Verkorte Referentienaam Deelnemer]]),0)</f>
        <v>0</v>
      </c>
      <c r="AV36" s="8">
        <f ca="1">SUM(Table_LuT_Begroting_Deelnemers[[#This Row],[Gevraagde Subsidie FO]:[Gevraagde Subsidie EO]])</f>
        <v>0</v>
      </c>
      <c r="AW36" s="3"/>
      <c r="AX36" s="3"/>
      <c r="AY36" s="3"/>
      <c r="AZ36" s="3"/>
    </row>
    <row r="37" spans="1:52" ht="15" customHeight="1" x14ac:dyDescent="0.25">
      <c r="A37" s="2" t="s">
        <v>194</v>
      </c>
      <c r="B37" s="2" t="s">
        <v>82</v>
      </c>
      <c r="C37" s="3" t="str">
        <f>_xlfn.XLOOKUP(Table_LuT_Begroting_Deelnemers[[#This Row],[ID Deelnemer]],Table_LuT_Deelnemers[ID Deelnemer],Table_LuT_Deelnemers[Verkorte Referentienaam Deelnemer],"&lt;Not in LuT&gt;",0,1)</f>
        <v>DN16</v>
      </c>
      <c r="D37" s="3" t="str">
        <f>Table_LuT_Begroting_Deelnemers[[#This Row],[ID Deelnemer]]&amp;" # "&amp;Table_LuT_Begroting_Deelnemers[[#This Row],[FO | IO | EO]]</f>
        <v>Deelnemer 16 # IO</v>
      </c>
      <c r="E37" s="3" t="b" cm="1">
        <f t="array" aca="1" ref="E37" ca="1">_xlfn.XLOOKUP(Table_LuT_Begroting_Deelnemers[[#This Row],[ID Deelnemer]],Table_LuT_Deelnemers[ID Deelnemer],INDIRECT("Table_LuT_Deelnemers["&amp;E$1&amp;"]"),"&lt;Not in LuT&gt;",0,1)</f>
        <v>0</v>
      </c>
      <c r="F37" s="3" t="b" cm="1">
        <f t="array" aca="1" ref="F37" ca="1">_xlfn.XLOOKUP(Table_LuT_Begroting_Deelnemers[[#This Row],[ID Deelnemer]],Table_LuT_Deelnemers[ID Deelnemer],INDIRECT("Table_LuT_Deelnemers["&amp;F$1&amp;"]"),"&lt;Not in LuT&gt;",0,1)</f>
        <v>0</v>
      </c>
      <c r="G37" s="3" t="b" cm="1">
        <f t="array" aca="1" ref="G37" ca="1">_xlfn.XLOOKUP(Table_LuT_Begroting_Deelnemers[[#This Row],[ID Deelnemer]],Table_LuT_Deelnemers[ID Deelnemer],INDIRECT("Table_LuT_Deelnemers["&amp;G$1&amp;"]"),"&lt;Not in LuT&gt;",0,1)</f>
        <v>0</v>
      </c>
      <c r="H37" s="3" t="b" cm="1">
        <f t="array" ref="H37">Var_MKB_Consortium</f>
        <v>1</v>
      </c>
      <c r="I37" s="3" t="b">
        <f ca="1">Table_LuT_Begroting_Deelnemers[[#This Row],[Is OO?]]</f>
        <v>0</v>
      </c>
      <c r="J37" s="3" t="str" cm="1">
        <f t="array" aca="1" ref="J37" ca="1">_xlfn.XLOOKUP(Table_LuT_Begroting_Deelnemers[[#This Row],[ID Deelnemer]],Table_LuT_Deelnemers[ID Deelnemer],INDIRECT("Table_LuT_Deelnemers["&amp;J$1&amp;"]"),"&lt;Not in LuT&gt;",0,1)</f>
        <v/>
      </c>
      <c r="K37" s="3" t="str" cm="1">
        <f t="array" aca="1" ref="K37" ca="1">_xlfn.XLOOKUP(Table_LuT_Begroting_Deelnemers[[#This Row],[ID Deelnemer]],Table_LuT_Deelnemers[ID Deelnemer],INDIRECT("Table_LuT_Deelnemers["&amp;K$1&amp;"]"),"&lt;Not in LuT&gt;",0,1)</f>
        <v/>
      </c>
      <c r="L37" s="8" cm="1">
        <f t="array" aca="1" ref="L37" ca="1">INDIRECT("'"&amp;$A37&amp;"'!Kosten_"&amp;Table_LuT_Begroting_Deelnemers[[#This Row],[FO | IO | EO]])</f>
        <v>0</v>
      </c>
      <c r="M37" s="8" cm="1">
        <f t="array" aca="1" ref="M37" ca="1">_xlfn.LET(_xlpm.maxsub_aux,INDIRECT("'"&amp;$A37&amp;"'!Max_Subsidie_"&amp;Table_LuT_Begroting_Deelnemers[[#This Row],[FO | IO | EO]]),IF(Var_Sub.instr.="MKB",IF(Table_LuT_Begroting_Deelnemers[[#This Row],[Is MKB?]],MIN(_xlpm.maxsub_aux,Var_MaxSub_MKB_call_MKB),MIN(_xlpm.maxsub_aux,Var_MaxSub_MKB_call_OO)),_xlpm.maxsub_aux))</f>
        <v>0</v>
      </c>
      <c r="N37" s="8">
        <f ca="1">Table_LuT_Begroting_Deelnemers[[#This Row],[Kosten]]-Table_LuT_Begroting_Deelnemers[[#This Row],[Maximale Subsidie - HTSM]]</f>
        <v>0</v>
      </c>
      <c r="O37" s="387" cm="1">
        <f t="array" aca="1" ref="O37"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37" s="394">
        <f ca="1">Table_LuT_Begroting_Deelnemers[[#This Row],[Maximale Subsidie % - wettelijk]]*Table_LuT_Begroting_Deelnemers[[#This Row],[Kosten]]</f>
        <v>0</v>
      </c>
      <c r="Q37"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3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3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37" s="8">
        <f ca="1">Table_LuT_Begroting_Deelnemers[[#This Row],[Kosten OO]]-Table_LuT_Begroting_Deelnemers[[#This Row],[Maximale Subsidie OO - HTSM]]</f>
        <v>0</v>
      </c>
      <c r="U3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37"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3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3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37" s="8">
        <f ca="1">Table_LuT_Begroting_Deelnemers[[#This Row],[Kosten PP]]-Table_LuT_Begroting_Deelnemers[[#This Row],[Maximale Subsidie PP - HTSM]]</f>
        <v>0</v>
      </c>
      <c r="Z3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37"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3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3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37" s="8">
        <f ca="1">Table_LuT_Begroting_Deelnemers[[#This Row],[Kosten GB]]-Table_LuT_Begroting_Deelnemers[[#This Row],[Maximale Subsidie GB - HTSM]]</f>
        <v>0</v>
      </c>
      <c r="AE3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37"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3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3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37" s="8">
        <f ca="1">Table_LuT_Begroting_Deelnemers[[#This Row],[Kosten MKB]]-Table_LuT_Begroting_Deelnemers[[#This Row],[Maximale Subsidie MKB - HTSM]]</f>
        <v>0</v>
      </c>
      <c r="AJ3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3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37" s="8">
        <f ca="1">MIN(Table_LuT_Begroting_Deelnemers[[#This Row],[Gegenereerde Subsidie - OO+MKB]],Table_LuT_Begroting_Deelnemers[[#This Row],[Maximale Subsidie OO - overheid]])</f>
        <v>0</v>
      </c>
      <c r="AM37" s="8" cm="1">
        <f t="array" aca="1" ref="AM37"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37" s="8" cm="1">
        <f t="array" aca="1" ref="AN37" ca="1">IF(Table_LuT_Begroting_Deelnemers[[#This Row],[FO | IO | EO]]="FO",INDIRECT("Cash_"&amp;Table_LuT_Begroting_Deelnemers[[#This Row],[Verkorte Referentienaam Deelnemer]]),0)</f>
        <v>0</v>
      </c>
      <c r="AO37" s="8" cm="1">
        <f t="array" aca="1" ref="AO37" ca="1">IF(Table_LuT_Begroting_Deelnemers[[#This Row],[FO | IO | EO]]="FO",INDIRECT("Cash_Ontvangen_"&amp;Table_LuT_Begroting_Deelnemers[[#This Row],[Verkorte Referentienaam Deelnemer]]),0)</f>
        <v>0</v>
      </c>
      <c r="AP37" s="8">
        <f ca="1">IF(Table_LuT_Begroting_Deelnemers[[#This Row],[Is OO?]],Table_LuT_Begroting_Deelnemers[[#This Row],[Cash Ontvangen]],0)</f>
        <v>0</v>
      </c>
      <c r="AQ37" s="8" cm="1">
        <f t="array" aca="1" ref="AQ37" ca="1">IF(Table_LuT_Begroting_Deelnemers[[#This Row],[FO | IO | EO]]="FO",INDIRECT("In_kind_"&amp;Table_LuT_Begroting_Deelnemers[[#This Row],[Verkorte Referentienaam Deelnemer]]),0)</f>
        <v>0</v>
      </c>
      <c r="AR37" s="8" cm="1">
        <f t="array" aca="1" ref="AR37" ca="1">IF(Table_LuT_Begroting_Deelnemers[[#This Row],[FO | IO | EO]]="FO",INDIRECT("Overige_Subsidies_"&amp;Table_LuT_Begroting_Deelnemers[[#This Row],[Verkorte Referentienaam Deelnemer]]),0)</f>
        <v>0</v>
      </c>
      <c r="AS37" s="8" cm="1">
        <f t="array" aca="1" ref="AS37" ca="1">IF(Table_LuT_Begroting_Deelnemers[[#This Row],[FO | IO | EO]]="FO",INDIRECT("Subsidie_FO_"&amp;Table_LuT_Begroting_Deelnemers[[#This Row],[Verkorte Referentienaam Deelnemer]]),0)</f>
        <v>0</v>
      </c>
      <c r="AT37" s="8" cm="1">
        <f t="array" aca="1" ref="AT37" ca="1">IF(Table_LuT_Begroting_Deelnemers[[#This Row],[FO | IO | EO]]="IO",INDIRECT("Subsidie_IO_"&amp;Table_LuT_Begroting_Deelnemers[[#This Row],[Verkorte Referentienaam Deelnemer]]),0)</f>
        <v>0</v>
      </c>
      <c r="AU37" s="8" cm="1">
        <f t="array" aca="1" ref="AU37" ca="1">IF(Table_LuT_Begroting_Deelnemers[[#This Row],[FO | IO | EO]]="EO",INDIRECT("Subsidie_EO_"&amp;Table_LuT_Begroting_Deelnemers[[#This Row],[Verkorte Referentienaam Deelnemer]]),0)</f>
        <v>0</v>
      </c>
      <c r="AV37" s="8">
        <f ca="1">SUM(Table_LuT_Begroting_Deelnemers[[#This Row],[Gevraagde Subsidie FO]:[Gevraagde Subsidie EO]])</f>
        <v>0</v>
      </c>
      <c r="AW37" s="3"/>
      <c r="AX37" s="3"/>
      <c r="AY37" s="3"/>
      <c r="AZ37" s="3"/>
    </row>
    <row r="38" spans="1:52" ht="15" customHeight="1" x14ac:dyDescent="0.25">
      <c r="A38" s="2" t="s">
        <v>195</v>
      </c>
      <c r="B38" s="2" t="s">
        <v>82</v>
      </c>
      <c r="C38" s="3" t="str">
        <f>_xlfn.XLOOKUP(Table_LuT_Begroting_Deelnemers[[#This Row],[ID Deelnemer]],Table_LuT_Deelnemers[ID Deelnemer],Table_LuT_Deelnemers[Verkorte Referentienaam Deelnemer],"&lt;Not in LuT&gt;",0,1)</f>
        <v>DN17</v>
      </c>
      <c r="D38" s="3" t="str">
        <f>Table_LuT_Begroting_Deelnemers[[#This Row],[ID Deelnemer]]&amp;" # "&amp;Table_LuT_Begroting_Deelnemers[[#This Row],[FO | IO | EO]]</f>
        <v>Deelnemer 17 # IO</v>
      </c>
      <c r="E38" s="3" t="b" cm="1">
        <f t="array" aca="1" ref="E38" ca="1">_xlfn.XLOOKUP(Table_LuT_Begroting_Deelnemers[[#This Row],[ID Deelnemer]],Table_LuT_Deelnemers[ID Deelnemer],INDIRECT("Table_LuT_Deelnemers["&amp;E$1&amp;"]"),"&lt;Not in LuT&gt;",0,1)</f>
        <v>0</v>
      </c>
      <c r="F38" s="3" t="b" cm="1">
        <f t="array" aca="1" ref="F38" ca="1">_xlfn.XLOOKUP(Table_LuT_Begroting_Deelnemers[[#This Row],[ID Deelnemer]],Table_LuT_Deelnemers[ID Deelnemer],INDIRECT("Table_LuT_Deelnemers["&amp;F$1&amp;"]"),"&lt;Not in LuT&gt;",0,1)</f>
        <v>0</v>
      </c>
      <c r="G38" s="3" t="b" cm="1">
        <f t="array" aca="1" ref="G38" ca="1">_xlfn.XLOOKUP(Table_LuT_Begroting_Deelnemers[[#This Row],[ID Deelnemer]],Table_LuT_Deelnemers[ID Deelnemer],INDIRECT("Table_LuT_Deelnemers["&amp;G$1&amp;"]"),"&lt;Not in LuT&gt;",0,1)</f>
        <v>0</v>
      </c>
      <c r="H38" s="3" t="b" cm="1">
        <f t="array" ref="H38">Var_MKB_Consortium</f>
        <v>1</v>
      </c>
      <c r="I38" s="3" t="b">
        <f ca="1">Table_LuT_Begroting_Deelnemers[[#This Row],[Is OO?]]</f>
        <v>0</v>
      </c>
      <c r="J38" s="3" t="str" cm="1">
        <f t="array" aca="1" ref="J38" ca="1">_xlfn.XLOOKUP(Table_LuT_Begroting_Deelnemers[[#This Row],[ID Deelnemer]],Table_LuT_Deelnemers[ID Deelnemer],INDIRECT("Table_LuT_Deelnemers["&amp;J$1&amp;"]"),"&lt;Not in LuT&gt;",0,1)</f>
        <v/>
      </c>
      <c r="K38" s="3" t="str" cm="1">
        <f t="array" aca="1" ref="K38" ca="1">_xlfn.XLOOKUP(Table_LuT_Begroting_Deelnemers[[#This Row],[ID Deelnemer]],Table_LuT_Deelnemers[ID Deelnemer],INDIRECT("Table_LuT_Deelnemers["&amp;K$1&amp;"]"),"&lt;Not in LuT&gt;",0,1)</f>
        <v/>
      </c>
      <c r="L38" s="8" cm="1">
        <f t="array" aca="1" ref="L38" ca="1">INDIRECT("'"&amp;$A38&amp;"'!Kosten_"&amp;Table_LuT_Begroting_Deelnemers[[#This Row],[FO | IO | EO]])</f>
        <v>0</v>
      </c>
      <c r="M38" s="8" cm="1">
        <f t="array" aca="1" ref="M38" ca="1">_xlfn.LET(_xlpm.maxsub_aux,INDIRECT("'"&amp;$A38&amp;"'!Max_Subsidie_"&amp;Table_LuT_Begroting_Deelnemers[[#This Row],[FO | IO | EO]]),IF(Var_Sub.instr.="MKB",IF(Table_LuT_Begroting_Deelnemers[[#This Row],[Is MKB?]],MIN(_xlpm.maxsub_aux,Var_MaxSub_MKB_call_MKB),MIN(_xlpm.maxsub_aux,Var_MaxSub_MKB_call_OO)),_xlpm.maxsub_aux))</f>
        <v>0</v>
      </c>
      <c r="N38" s="8">
        <f ca="1">Table_LuT_Begroting_Deelnemers[[#This Row],[Kosten]]-Table_LuT_Begroting_Deelnemers[[#This Row],[Maximale Subsidie - HTSM]]</f>
        <v>0</v>
      </c>
      <c r="O38" s="387" cm="1">
        <f t="array" aca="1" ref="O38"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38" s="394">
        <f ca="1">Table_LuT_Begroting_Deelnemers[[#This Row],[Maximale Subsidie % - wettelijk]]*Table_LuT_Begroting_Deelnemers[[#This Row],[Kosten]]</f>
        <v>0</v>
      </c>
      <c r="Q38"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3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3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38" s="8">
        <f ca="1">Table_LuT_Begroting_Deelnemers[[#This Row],[Kosten OO]]-Table_LuT_Begroting_Deelnemers[[#This Row],[Maximale Subsidie OO - HTSM]]</f>
        <v>0</v>
      </c>
      <c r="U3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38"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3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3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38" s="8">
        <f ca="1">Table_LuT_Begroting_Deelnemers[[#This Row],[Kosten PP]]-Table_LuT_Begroting_Deelnemers[[#This Row],[Maximale Subsidie PP - HTSM]]</f>
        <v>0</v>
      </c>
      <c r="Z3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38"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3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3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38" s="8">
        <f ca="1">Table_LuT_Begroting_Deelnemers[[#This Row],[Kosten GB]]-Table_LuT_Begroting_Deelnemers[[#This Row],[Maximale Subsidie GB - HTSM]]</f>
        <v>0</v>
      </c>
      <c r="AE3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38"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3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3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38" s="8">
        <f ca="1">Table_LuT_Begroting_Deelnemers[[#This Row],[Kosten MKB]]-Table_LuT_Begroting_Deelnemers[[#This Row],[Maximale Subsidie MKB - HTSM]]</f>
        <v>0</v>
      </c>
      <c r="AJ3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3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38" s="8">
        <f ca="1">MIN(Table_LuT_Begroting_Deelnemers[[#This Row],[Gegenereerde Subsidie - OO+MKB]],Table_LuT_Begroting_Deelnemers[[#This Row],[Maximale Subsidie OO - overheid]])</f>
        <v>0</v>
      </c>
      <c r="AM38" s="8" cm="1">
        <f t="array" aca="1" ref="AM38"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38" s="8" cm="1">
        <f t="array" aca="1" ref="AN38" ca="1">IF(Table_LuT_Begroting_Deelnemers[[#This Row],[FO | IO | EO]]="FO",INDIRECT("Cash_"&amp;Table_LuT_Begroting_Deelnemers[[#This Row],[Verkorte Referentienaam Deelnemer]]),0)</f>
        <v>0</v>
      </c>
      <c r="AO38" s="8" cm="1">
        <f t="array" aca="1" ref="AO38" ca="1">IF(Table_LuT_Begroting_Deelnemers[[#This Row],[FO | IO | EO]]="FO",INDIRECT("Cash_Ontvangen_"&amp;Table_LuT_Begroting_Deelnemers[[#This Row],[Verkorte Referentienaam Deelnemer]]),0)</f>
        <v>0</v>
      </c>
      <c r="AP38" s="8">
        <f ca="1">IF(Table_LuT_Begroting_Deelnemers[[#This Row],[Is OO?]],Table_LuT_Begroting_Deelnemers[[#This Row],[Cash Ontvangen]],0)</f>
        <v>0</v>
      </c>
      <c r="AQ38" s="8" cm="1">
        <f t="array" aca="1" ref="AQ38" ca="1">IF(Table_LuT_Begroting_Deelnemers[[#This Row],[FO | IO | EO]]="FO",INDIRECT("In_kind_"&amp;Table_LuT_Begroting_Deelnemers[[#This Row],[Verkorte Referentienaam Deelnemer]]),0)</f>
        <v>0</v>
      </c>
      <c r="AR38" s="8" cm="1">
        <f t="array" aca="1" ref="AR38" ca="1">IF(Table_LuT_Begroting_Deelnemers[[#This Row],[FO | IO | EO]]="FO",INDIRECT("Overige_Subsidies_"&amp;Table_LuT_Begroting_Deelnemers[[#This Row],[Verkorte Referentienaam Deelnemer]]),0)</f>
        <v>0</v>
      </c>
      <c r="AS38" s="8" cm="1">
        <f t="array" aca="1" ref="AS38" ca="1">IF(Table_LuT_Begroting_Deelnemers[[#This Row],[FO | IO | EO]]="FO",INDIRECT("Subsidie_FO_"&amp;Table_LuT_Begroting_Deelnemers[[#This Row],[Verkorte Referentienaam Deelnemer]]),0)</f>
        <v>0</v>
      </c>
      <c r="AT38" s="8" cm="1">
        <f t="array" aca="1" ref="AT38" ca="1">IF(Table_LuT_Begroting_Deelnemers[[#This Row],[FO | IO | EO]]="IO",INDIRECT("Subsidie_IO_"&amp;Table_LuT_Begroting_Deelnemers[[#This Row],[Verkorte Referentienaam Deelnemer]]),0)</f>
        <v>0</v>
      </c>
      <c r="AU38" s="8" cm="1">
        <f t="array" aca="1" ref="AU38" ca="1">IF(Table_LuT_Begroting_Deelnemers[[#This Row],[FO | IO | EO]]="EO",INDIRECT("Subsidie_EO_"&amp;Table_LuT_Begroting_Deelnemers[[#This Row],[Verkorte Referentienaam Deelnemer]]),0)</f>
        <v>0</v>
      </c>
      <c r="AV38" s="8">
        <f ca="1">SUM(Table_LuT_Begroting_Deelnemers[[#This Row],[Gevraagde Subsidie FO]:[Gevraagde Subsidie EO]])</f>
        <v>0</v>
      </c>
      <c r="AW38" s="3"/>
      <c r="AX38" s="3"/>
      <c r="AY38" s="3"/>
      <c r="AZ38" s="3"/>
    </row>
    <row r="39" spans="1:52" ht="15" customHeight="1" x14ac:dyDescent="0.25">
      <c r="A39" s="2" t="s">
        <v>196</v>
      </c>
      <c r="B39" s="2" t="s">
        <v>82</v>
      </c>
      <c r="C39" s="3" t="str">
        <f>_xlfn.XLOOKUP(Table_LuT_Begroting_Deelnemers[[#This Row],[ID Deelnemer]],Table_LuT_Deelnemers[ID Deelnemer],Table_LuT_Deelnemers[Verkorte Referentienaam Deelnemer],"&lt;Not in LuT&gt;",0,1)</f>
        <v>DN18</v>
      </c>
      <c r="D39" s="3" t="str">
        <f>Table_LuT_Begroting_Deelnemers[[#This Row],[ID Deelnemer]]&amp;" # "&amp;Table_LuT_Begroting_Deelnemers[[#This Row],[FO | IO | EO]]</f>
        <v>Deelnemer 18 # IO</v>
      </c>
      <c r="E39" s="3" t="b" cm="1">
        <f t="array" aca="1" ref="E39" ca="1">_xlfn.XLOOKUP(Table_LuT_Begroting_Deelnemers[[#This Row],[ID Deelnemer]],Table_LuT_Deelnemers[ID Deelnemer],INDIRECT("Table_LuT_Deelnemers["&amp;E$1&amp;"]"),"&lt;Not in LuT&gt;",0,1)</f>
        <v>0</v>
      </c>
      <c r="F39" s="3" t="b" cm="1">
        <f t="array" aca="1" ref="F39" ca="1">_xlfn.XLOOKUP(Table_LuT_Begroting_Deelnemers[[#This Row],[ID Deelnemer]],Table_LuT_Deelnemers[ID Deelnemer],INDIRECT("Table_LuT_Deelnemers["&amp;F$1&amp;"]"),"&lt;Not in LuT&gt;",0,1)</f>
        <v>0</v>
      </c>
      <c r="G39" s="3" t="b" cm="1">
        <f t="array" aca="1" ref="G39" ca="1">_xlfn.XLOOKUP(Table_LuT_Begroting_Deelnemers[[#This Row],[ID Deelnemer]],Table_LuT_Deelnemers[ID Deelnemer],INDIRECT("Table_LuT_Deelnemers["&amp;G$1&amp;"]"),"&lt;Not in LuT&gt;",0,1)</f>
        <v>0</v>
      </c>
      <c r="H39" s="3" t="b" cm="1">
        <f t="array" ref="H39">Var_MKB_Consortium</f>
        <v>1</v>
      </c>
      <c r="I39" s="3" t="b">
        <f ca="1">Table_LuT_Begroting_Deelnemers[[#This Row],[Is OO?]]</f>
        <v>0</v>
      </c>
      <c r="J39" s="3" t="str" cm="1">
        <f t="array" aca="1" ref="J39" ca="1">_xlfn.XLOOKUP(Table_LuT_Begroting_Deelnemers[[#This Row],[ID Deelnemer]],Table_LuT_Deelnemers[ID Deelnemer],INDIRECT("Table_LuT_Deelnemers["&amp;J$1&amp;"]"),"&lt;Not in LuT&gt;",0,1)</f>
        <v/>
      </c>
      <c r="K39" s="3" t="str" cm="1">
        <f t="array" aca="1" ref="K39" ca="1">_xlfn.XLOOKUP(Table_LuT_Begroting_Deelnemers[[#This Row],[ID Deelnemer]],Table_LuT_Deelnemers[ID Deelnemer],INDIRECT("Table_LuT_Deelnemers["&amp;K$1&amp;"]"),"&lt;Not in LuT&gt;",0,1)</f>
        <v/>
      </c>
      <c r="L39" s="8" cm="1">
        <f t="array" aca="1" ref="L39" ca="1">INDIRECT("'"&amp;$A39&amp;"'!Kosten_"&amp;Table_LuT_Begroting_Deelnemers[[#This Row],[FO | IO | EO]])</f>
        <v>0</v>
      </c>
      <c r="M39" s="8" cm="1">
        <f t="array" aca="1" ref="M39" ca="1">_xlfn.LET(_xlpm.maxsub_aux,INDIRECT("'"&amp;$A39&amp;"'!Max_Subsidie_"&amp;Table_LuT_Begroting_Deelnemers[[#This Row],[FO | IO | EO]]),IF(Var_Sub.instr.="MKB",IF(Table_LuT_Begroting_Deelnemers[[#This Row],[Is MKB?]],MIN(_xlpm.maxsub_aux,Var_MaxSub_MKB_call_MKB),MIN(_xlpm.maxsub_aux,Var_MaxSub_MKB_call_OO)),_xlpm.maxsub_aux))</f>
        <v>0</v>
      </c>
      <c r="N39" s="8">
        <f ca="1">Table_LuT_Begroting_Deelnemers[[#This Row],[Kosten]]-Table_LuT_Begroting_Deelnemers[[#This Row],[Maximale Subsidie - HTSM]]</f>
        <v>0</v>
      </c>
      <c r="O39" s="387" cm="1">
        <f t="array" aca="1" ref="O39"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39" s="394">
        <f ca="1">Table_LuT_Begroting_Deelnemers[[#This Row],[Maximale Subsidie % - wettelijk]]*Table_LuT_Begroting_Deelnemers[[#This Row],[Kosten]]</f>
        <v>0</v>
      </c>
      <c r="Q39"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3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3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39" s="8">
        <f ca="1">Table_LuT_Begroting_Deelnemers[[#This Row],[Kosten OO]]-Table_LuT_Begroting_Deelnemers[[#This Row],[Maximale Subsidie OO - HTSM]]</f>
        <v>0</v>
      </c>
      <c r="U3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39"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3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3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39" s="8">
        <f ca="1">Table_LuT_Begroting_Deelnemers[[#This Row],[Kosten PP]]-Table_LuT_Begroting_Deelnemers[[#This Row],[Maximale Subsidie PP - HTSM]]</f>
        <v>0</v>
      </c>
      <c r="Z3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39"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3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3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39" s="8">
        <f ca="1">Table_LuT_Begroting_Deelnemers[[#This Row],[Kosten GB]]-Table_LuT_Begroting_Deelnemers[[#This Row],[Maximale Subsidie GB - HTSM]]</f>
        <v>0</v>
      </c>
      <c r="AE3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39"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3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3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39" s="8">
        <f ca="1">Table_LuT_Begroting_Deelnemers[[#This Row],[Kosten MKB]]-Table_LuT_Begroting_Deelnemers[[#This Row],[Maximale Subsidie MKB - HTSM]]</f>
        <v>0</v>
      </c>
      <c r="AJ3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3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39" s="8">
        <f ca="1">MIN(Table_LuT_Begroting_Deelnemers[[#This Row],[Gegenereerde Subsidie - OO+MKB]],Table_LuT_Begroting_Deelnemers[[#This Row],[Maximale Subsidie OO - overheid]])</f>
        <v>0</v>
      </c>
      <c r="AM39" s="8" cm="1">
        <f t="array" aca="1" ref="AM39"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39" s="8" cm="1">
        <f t="array" aca="1" ref="AN39" ca="1">IF(Table_LuT_Begroting_Deelnemers[[#This Row],[FO | IO | EO]]="FO",INDIRECT("Cash_"&amp;Table_LuT_Begroting_Deelnemers[[#This Row],[Verkorte Referentienaam Deelnemer]]),0)</f>
        <v>0</v>
      </c>
      <c r="AO39" s="8" cm="1">
        <f t="array" aca="1" ref="AO39" ca="1">IF(Table_LuT_Begroting_Deelnemers[[#This Row],[FO | IO | EO]]="FO",INDIRECT("Cash_Ontvangen_"&amp;Table_LuT_Begroting_Deelnemers[[#This Row],[Verkorte Referentienaam Deelnemer]]),0)</f>
        <v>0</v>
      </c>
      <c r="AP39" s="8">
        <f ca="1">IF(Table_LuT_Begroting_Deelnemers[[#This Row],[Is OO?]],Table_LuT_Begroting_Deelnemers[[#This Row],[Cash Ontvangen]],0)</f>
        <v>0</v>
      </c>
      <c r="AQ39" s="8" cm="1">
        <f t="array" aca="1" ref="AQ39" ca="1">IF(Table_LuT_Begroting_Deelnemers[[#This Row],[FO | IO | EO]]="FO",INDIRECT("In_kind_"&amp;Table_LuT_Begroting_Deelnemers[[#This Row],[Verkorte Referentienaam Deelnemer]]),0)</f>
        <v>0</v>
      </c>
      <c r="AR39" s="8" cm="1">
        <f t="array" aca="1" ref="AR39" ca="1">IF(Table_LuT_Begroting_Deelnemers[[#This Row],[FO | IO | EO]]="FO",INDIRECT("Overige_Subsidies_"&amp;Table_LuT_Begroting_Deelnemers[[#This Row],[Verkorte Referentienaam Deelnemer]]),0)</f>
        <v>0</v>
      </c>
      <c r="AS39" s="8" cm="1">
        <f t="array" aca="1" ref="AS39" ca="1">IF(Table_LuT_Begroting_Deelnemers[[#This Row],[FO | IO | EO]]="FO",INDIRECT("Subsidie_FO_"&amp;Table_LuT_Begroting_Deelnemers[[#This Row],[Verkorte Referentienaam Deelnemer]]),0)</f>
        <v>0</v>
      </c>
      <c r="AT39" s="8" cm="1">
        <f t="array" aca="1" ref="AT39" ca="1">IF(Table_LuT_Begroting_Deelnemers[[#This Row],[FO | IO | EO]]="IO",INDIRECT("Subsidie_IO_"&amp;Table_LuT_Begroting_Deelnemers[[#This Row],[Verkorte Referentienaam Deelnemer]]),0)</f>
        <v>0</v>
      </c>
      <c r="AU39" s="8" cm="1">
        <f t="array" aca="1" ref="AU39" ca="1">IF(Table_LuT_Begroting_Deelnemers[[#This Row],[FO | IO | EO]]="EO",INDIRECT("Subsidie_EO_"&amp;Table_LuT_Begroting_Deelnemers[[#This Row],[Verkorte Referentienaam Deelnemer]]),0)</f>
        <v>0</v>
      </c>
      <c r="AV39" s="8">
        <f ca="1">SUM(Table_LuT_Begroting_Deelnemers[[#This Row],[Gevraagde Subsidie FO]:[Gevraagde Subsidie EO]])</f>
        <v>0</v>
      </c>
      <c r="AW39" s="3"/>
      <c r="AX39" s="3"/>
      <c r="AY39" s="3"/>
      <c r="AZ39" s="3"/>
    </row>
    <row r="40" spans="1:52" ht="15" customHeight="1" x14ac:dyDescent="0.25">
      <c r="A40" s="2" t="s">
        <v>197</v>
      </c>
      <c r="B40" s="2" t="s">
        <v>82</v>
      </c>
      <c r="C40" s="3" t="str">
        <f>_xlfn.XLOOKUP(Table_LuT_Begroting_Deelnemers[[#This Row],[ID Deelnemer]],Table_LuT_Deelnemers[ID Deelnemer],Table_LuT_Deelnemers[Verkorte Referentienaam Deelnemer],"&lt;Not in LuT&gt;",0,1)</f>
        <v>DN19</v>
      </c>
      <c r="D40" s="3" t="str">
        <f>Table_LuT_Begroting_Deelnemers[[#This Row],[ID Deelnemer]]&amp;" # "&amp;Table_LuT_Begroting_Deelnemers[[#This Row],[FO | IO | EO]]</f>
        <v>Deelnemer 19 # IO</v>
      </c>
      <c r="E40" s="3" t="b" cm="1">
        <f t="array" aca="1" ref="E40" ca="1">_xlfn.XLOOKUP(Table_LuT_Begroting_Deelnemers[[#This Row],[ID Deelnemer]],Table_LuT_Deelnemers[ID Deelnemer],INDIRECT("Table_LuT_Deelnemers["&amp;E$1&amp;"]"),"&lt;Not in LuT&gt;",0,1)</f>
        <v>0</v>
      </c>
      <c r="F40" s="3" t="b" cm="1">
        <f t="array" aca="1" ref="F40" ca="1">_xlfn.XLOOKUP(Table_LuT_Begroting_Deelnemers[[#This Row],[ID Deelnemer]],Table_LuT_Deelnemers[ID Deelnemer],INDIRECT("Table_LuT_Deelnemers["&amp;F$1&amp;"]"),"&lt;Not in LuT&gt;",0,1)</f>
        <v>0</v>
      </c>
      <c r="G40" s="3" t="b" cm="1">
        <f t="array" aca="1" ref="G40" ca="1">_xlfn.XLOOKUP(Table_LuT_Begroting_Deelnemers[[#This Row],[ID Deelnemer]],Table_LuT_Deelnemers[ID Deelnemer],INDIRECT("Table_LuT_Deelnemers["&amp;G$1&amp;"]"),"&lt;Not in LuT&gt;",0,1)</f>
        <v>0</v>
      </c>
      <c r="H40" s="3" t="b" cm="1">
        <f t="array" ref="H40">Var_MKB_Consortium</f>
        <v>1</v>
      </c>
      <c r="I40" s="3" t="b">
        <f ca="1">Table_LuT_Begroting_Deelnemers[[#This Row],[Is OO?]]</f>
        <v>0</v>
      </c>
      <c r="J40" s="3" t="str" cm="1">
        <f t="array" aca="1" ref="J40" ca="1">_xlfn.XLOOKUP(Table_LuT_Begroting_Deelnemers[[#This Row],[ID Deelnemer]],Table_LuT_Deelnemers[ID Deelnemer],INDIRECT("Table_LuT_Deelnemers["&amp;J$1&amp;"]"),"&lt;Not in LuT&gt;",0,1)</f>
        <v/>
      </c>
      <c r="K40" s="3" t="str" cm="1">
        <f t="array" aca="1" ref="K40" ca="1">_xlfn.XLOOKUP(Table_LuT_Begroting_Deelnemers[[#This Row],[ID Deelnemer]],Table_LuT_Deelnemers[ID Deelnemer],INDIRECT("Table_LuT_Deelnemers["&amp;K$1&amp;"]"),"&lt;Not in LuT&gt;",0,1)</f>
        <v/>
      </c>
      <c r="L40" s="8" cm="1">
        <f t="array" aca="1" ref="L40" ca="1">INDIRECT("'"&amp;$A40&amp;"'!Kosten_"&amp;Table_LuT_Begroting_Deelnemers[[#This Row],[FO | IO | EO]])</f>
        <v>0</v>
      </c>
      <c r="M40" s="8" cm="1">
        <f t="array" aca="1" ref="M40" ca="1">_xlfn.LET(_xlpm.maxsub_aux,INDIRECT("'"&amp;$A40&amp;"'!Max_Subsidie_"&amp;Table_LuT_Begroting_Deelnemers[[#This Row],[FO | IO | EO]]),IF(Var_Sub.instr.="MKB",IF(Table_LuT_Begroting_Deelnemers[[#This Row],[Is MKB?]],MIN(_xlpm.maxsub_aux,Var_MaxSub_MKB_call_MKB),MIN(_xlpm.maxsub_aux,Var_MaxSub_MKB_call_OO)),_xlpm.maxsub_aux))</f>
        <v>0</v>
      </c>
      <c r="N40" s="8">
        <f ca="1">Table_LuT_Begroting_Deelnemers[[#This Row],[Kosten]]-Table_LuT_Begroting_Deelnemers[[#This Row],[Maximale Subsidie - HTSM]]</f>
        <v>0</v>
      </c>
      <c r="O40" s="387" cm="1">
        <f t="array" aca="1" ref="O40"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40" s="394">
        <f ca="1">Table_LuT_Begroting_Deelnemers[[#This Row],[Maximale Subsidie % - wettelijk]]*Table_LuT_Begroting_Deelnemers[[#This Row],[Kosten]]</f>
        <v>0</v>
      </c>
      <c r="Q40"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4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4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40" s="8">
        <f ca="1">Table_LuT_Begroting_Deelnemers[[#This Row],[Kosten OO]]-Table_LuT_Begroting_Deelnemers[[#This Row],[Maximale Subsidie OO - HTSM]]</f>
        <v>0</v>
      </c>
      <c r="U4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40"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4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4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40" s="8">
        <f ca="1">Table_LuT_Begroting_Deelnemers[[#This Row],[Kosten PP]]-Table_LuT_Begroting_Deelnemers[[#This Row],[Maximale Subsidie PP - HTSM]]</f>
        <v>0</v>
      </c>
      <c r="Z4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40"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4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4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40" s="8">
        <f ca="1">Table_LuT_Begroting_Deelnemers[[#This Row],[Kosten GB]]-Table_LuT_Begroting_Deelnemers[[#This Row],[Maximale Subsidie GB - HTSM]]</f>
        <v>0</v>
      </c>
      <c r="AE4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40"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4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4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40" s="8">
        <f ca="1">Table_LuT_Begroting_Deelnemers[[#This Row],[Kosten MKB]]-Table_LuT_Begroting_Deelnemers[[#This Row],[Maximale Subsidie MKB - HTSM]]</f>
        <v>0</v>
      </c>
      <c r="AJ4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4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40" s="8">
        <f ca="1">MIN(Table_LuT_Begroting_Deelnemers[[#This Row],[Gegenereerde Subsidie - OO+MKB]],Table_LuT_Begroting_Deelnemers[[#This Row],[Maximale Subsidie OO - overheid]])</f>
        <v>0</v>
      </c>
      <c r="AM40" s="8" cm="1">
        <f t="array" aca="1" ref="AM40"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40" s="8" cm="1">
        <f t="array" aca="1" ref="AN40" ca="1">IF(Table_LuT_Begroting_Deelnemers[[#This Row],[FO | IO | EO]]="FO",INDIRECT("Cash_"&amp;Table_LuT_Begroting_Deelnemers[[#This Row],[Verkorte Referentienaam Deelnemer]]),0)</f>
        <v>0</v>
      </c>
      <c r="AO40" s="8" cm="1">
        <f t="array" aca="1" ref="AO40" ca="1">IF(Table_LuT_Begroting_Deelnemers[[#This Row],[FO | IO | EO]]="FO",INDIRECT("Cash_Ontvangen_"&amp;Table_LuT_Begroting_Deelnemers[[#This Row],[Verkorte Referentienaam Deelnemer]]),0)</f>
        <v>0</v>
      </c>
      <c r="AP40" s="8">
        <f ca="1">IF(Table_LuT_Begroting_Deelnemers[[#This Row],[Is OO?]],Table_LuT_Begroting_Deelnemers[[#This Row],[Cash Ontvangen]],0)</f>
        <v>0</v>
      </c>
      <c r="AQ40" s="8" cm="1">
        <f t="array" aca="1" ref="AQ40" ca="1">IF(Table_LuT_Begroting_Deelnemers[[#This Row],[FO | IO | EO]]="FO",INDIRECT("In_kind_"&amp;Table_LuT_Begroting_Deelnemers[[#This Row],[Verkorte Referentienaam Deelnemer]]),0)</f>
        <v>0</v>
      </c>
      <c r="AR40" s="8" cm="1">
        <f t="array" aca="1" ref="AR40" ca="1">IF(Table_LuT_Begroting_Deelnemers[[#This Row],[FO | IO | EO]]="FO",INDIRECT("Overige_Subsidies_"&amp;Table_LuT_Begroting_Deelnemers[[#This Row],[Verkorte Referentienaam Deelnemer]]),0)</f>
        <v>0</v>
      </c>
      <c r="AS40" s="8" cm="1">
        <f t="array" aca="1" ref="AS40" ca="1">IF(Table_LuT_Begroting_Deelnemers[[#This Row],[FO | IO | EO]]="FO",INDIRECT("Subsidie_FO_"&amp;Table_LuT_Begroting_Deelnemers[[#This Row],[Verkorte Referentienaam Deelnemer]]),0)</f>
        <v>0</v>
      </c>
      <c r="AT40" s="8" cm="1">
        <f t="array" aca="1" ref="AT40" ca="1">IF(Table_LuT_Begroting_Deelnemers[[#This Row],[FO | IO | EO]]="IO",INDIRECT("Subsidie_IO_"&amp;Table_LuT_Begroting_Deelnemers[[#This Row],[Verkorte Referentienaam Deelnemer]]),0)</f>
        <v>0</v>
      </c>
      <c r="AU40" s="8" cm="1">
        <f t="array" aca="1" ref="AU40" ca="1">IF(Table_LuT_Begroting_Deelnemers[[#This Row],[FO | IO | EO]]="EO",INDIRECT("Subsidie_EO_"&amp;Table_LuT_Begroting_Deelnemers[[#This Row],[Verkorte Referentienaam Deelnemer]]),0)</f>
        <v>0</v>
      </c>
      <c r="AV40" s="8">
        <f ca="1">SUM(Table_LuT_Begroting_Deelnemers[[#This Row],[Gevraagde Subsidie FO]:[Gevraagde Subsidie EO]])</f>
        <v>0</v>
      </c>
      <c r="AW40" s="3"/>
      <c r="AX40" s="3"/>
      <c r="AY40" s="3"/>
      <c r="AZ40" s="3"/>
    </row>
    <row r="41" spans="1:52" ht="15" customHeight="1" x14ac:dyDescent="0.25">
      <c r="A41" s="2" t="s">
        <v>198</v>
      </c>
      <c r="B41" s="2" t="s">
        <v>82</v>
      </c>
      <c r="C41" s="3" t="str">
        <f>_xlfn.XLOOKUP(Table_LuT_Begroting_Deelnemers[[#This Row],[ID Deelnemer]],Table_LuT_Deelnemers[ID Deelnemer],Table_LuT_Deelnemers[Verkorte Referentienaam Deelnemer],"&lt;Not in LuT&gt;",0,1)</f>
        <v>DN20</v>
      </c>
      <c r="D41" s="3" t="str">
        <f>Table_LuT_Begroting_Deelnemers[[#This Row],[ID Deelnemer]]&amp;" # "&amp;Table_LuT_Begroting_Deelnemers[[#This Row],[FO | IO | EO]]</f>
        <v>Deelnemer 20 # IO</v>
      </c>
      <c r="E41" s="3" t="b" cm="1">
        <f t="array" aca="1" ref="E41" ca="1">_xlfn.XLOOKUP(Table_LuT_Begroting_Deelnemers[[#This Row],[ID Deelnemer]],Table_LuT_Deelnemers[ID Deelnemer],INDIRECT("Table_LuT_Deelnemers["&amp;E$1&amp;"]"),"&lt;Not in LuT&gt;",0,1)</f>
        <v>0</v>
      </c>
      <c r="F41" s="3" t="b" cm="1">
        <f t="array" aca="1" ref="F41" ca="1">_xlfn.XLOOKUP(Table_LuT_Begroting_Deelnemers[[#This Row],[ID Deelnemer]],Table_LuT_Deelnemers[ID Deelnemer],INDIRECT("Table_LuT_Deelnemers["&amp;F$1&amp;"]"),"&lt;Not in LuT&gt;",0,1)</f>
        <v>0</v>
      </c>
      <c r="G41" s="3" t="b" cm="1">
        <f t="array" aca="1" ref="G41" ca="1">_xlfn.XLOOKUP(Table_LuT_Begroting_Deelnemers[[#This Row],[ID Deelnemer]],Table_LuT_Deelnemers[ID Deelnemer],INDIRECT("Table_LuT_Deelnemers["&amp;G$1&amp;"]"),"&lt;Not in LuT&gt;",0,1)</f>
        <v>0</v>
      </c>
      <c r="H41" s="3" t="b" cm="1">
        <f t="array" ref="H41">Var_MKB_Consortium</f>
        <v>1</v>
      </c>
      <c r="I41" s="3" t="b">
        <f ca="1">Table_LuT_Begroting_Deelnemers[[#This Row],[Is OO?]]</f>
        <v>0</v>
      </c>
      <c r="J41" s="3" t="str" cm="1">
        <f t="array" aca="1" ref="J41" ca="1">_xlfn.XLOOKUP(Table_LuT_Begroting_Deelnemers[[#This Row],[ID Deelnemer]],Table_LuT_Deelnemers[ID Deelnemer],INDIRECT("Table_LuT_Deelnemers["&amp;J$1&amp;"]"),"&lt;Not in LuT&gt;",0,1)</f>
        <v/>
      </c>
      <c r="K41" s="3" t="str" cm="1">
        <f t="array" aca="1" ref="K41" ca="1">_xlfn.XLOOKUP(Table_LuT_Begroting_Deelnemers[[#This Row],[ID Deelnemer]],Table_LuT_Deelnemers[ID Deelnemer],INDIRECT("Table_LuT_Deelnemers["&amp;K$1&amp;"]"),"&lt;Not in LuT&gt;",0,1)</f>
        <v/>
      </c>
      <c r="L41" s="8" cm="1">
        <f t="array" aca="1" ref="L41" ca="1">INDIRECT("'"&amp;$A41&amp;"'!Kosten_"&amp;Table_LuT_Begroting_Deelnemers[[#This Row],[FO | IO | EO]])</f>
        <v>0</v>
      </c>
      <c r="M41" s="8" cm="1">
        <f t="array" aca="1" ref="M41" ca="1">_xlfn.LET(_xlpm.maxsub_aux,INDIRECT("'"&amp;$A41&amp;"'!Max_Subsidie_"&amp;Table_LuT_Begroting_Deelnemers[[#This Row],[FO | IO | EO]]),IF(Var_Sub.instr.="MKB",IF(Table_LuT_Begroting_Deelnemers[[#This Row],[Is MKB?]],MIN(_xlpm.maxsub_aux,Var_MaxSub_MKB_call_MKB),MIN(_xlpm.maxsub_aux,Var_MaxSub_MKB_call_OO)),_xlpm.maxsub_aux))</f>
        <v>0</v>
      </c>
      <c r="N41" s="8">
        <f ca="1">Table_LuT_Begroting_Deelnemers[[#This Row],[Kosten]]-Table_LuT_Begroting_Deelnemers[[#This Row],[Maximale Subsidie - HTSM]]</f>
        <v>0</v>
      </c>
      <c r="O41" s="387" cm="1">
        <f t="array" aca="1" ref="O41"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41" s="394">
        <f ca="1">Table_LuT_Begroting_Deelnemers[[#This Row],[Maximale Subsidie % - wettelijk]]*Table_LuT_Begroting_Deelnemers[[#This Row],[Kosten]]</f>
        <v>0</v>
      </c>
      <c r="Q41"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4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4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41" s="8">
        <f ca="1">Table_LuT_Begroting_Deelnemers[[#This Row],[Kosten OO]]-Table_LuT_Begroting_Deelnemers[[#This Row],[Maximale Subsidie OO - HTSM]]</f>
        <v>0</v>
      </c>
      <c r="U4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41"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4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4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41" s="8">
        <f ca="1">Table_LuT_Begroting_Deelnemers[[#This Row],[Kosten PP]]-Table_LuT_Begroting_Deelnemers[[#This Row],[Maximale Subsidie PP - HTSM]]</f>
        <v>0</v>
      </c>
      <c r="Z4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41"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4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4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41" s="8">
        <f ca="1">Table_LuT_Begroting_Deelnemers[[#This Row],[Kosten GB]]-Table_LuT_Begroting_Deelnemers[[#This Row],[Maximale Subsidie GB - HTSM]]</f>
        <v>0</v>
      </c>
      <c r="AE4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41"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4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4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41" s="8">
        <f ca="1">Table_LuT_Begroting_Deelnemers[[#This Row],[Kosten MKB]]-Table_LuT_Begroting_Deelnemers[[#This Row],[Maximale Subsidie MKB - HTSM]]</f>
        <v>0</v>
      </c>
      <c r="AJ4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4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41" s="8">
        <f ca="1">MIN(Table_LuT_Begroting_Deelnemers[[#This Row],[Gegenereerde Subsidie - OO+MKB]],Table_LuT_Begroting_Deelnemers[[#This Row],[Maximale Subsidie OO - overheid]])</f>
        <v>0</v>
      </c>
      <c r="AM41" s="8" cm="1">
        <f t="array" aca="1" ref="AM41"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41" s="8" cm="1">
        <f t="array" aca="1" ref="AN41" ca="1">IF(Table_LuT_Begroting_Deelnemers[[#This Row],[FO | IO | EO]]="FO",INDIRECT("Cash_"&amp;Table_LuT_Begroting_Deelnemers[[#This Row],[Verkorte Referentienaam Deelnemer]]),0)</f>
        <v>0</v>
      </c>
      <c r="AO41" s="8" cm="1">
        <f t="array" aca="1" ref="AO41" ca="1">IF(Table_LuT_Begroting_Deelnemers[[#This Row],[FO | IO | EO]]="FO",INDIRECT("Cash_Ontvangen_"&amp;Table_LuT_Begroting_Deelnemers[[#This Row],[Verkorte Referentienaam Deelnemer]]),0)</f>
        <v>0</v>
      </c>
      <c r="AP41" s="8">
        <f ca="1">IF(Table_LuT_Begroting_Deelnemers[[#This Row],[Is OO?]],Table_LuT_Begroting_Deelnemers[[#This Row],[Cash Ontvangen]],0)</f>
        <v>0</v>
      </c>
      <c r="AQ41" s="8" cm="1">
        <f t="array" aca="1" ref="AQ41" ca="1">IF(Table_LuT_Begroting_Deelnemers[[#This Row],[FO | IO | EO]]="FO",INDIRECT("In_kind_"&amp;Table_LuT_Begroting_Deelnemers[[#This Row],[Verkorte Referentienaam Deelnemer]]),0)</f>
        <v>0</v>
      </c>
      <c r="AR41" s="8" cm="1">
        <f t="array" aca="1" ref="AR41" ca="1">IF(Table_LuT_Begroting_Deelnemers[[#This Row],[FO | IO | EO]]="FO",INDIRECT("Overige_Subsidies_"&amp;Table_LuT_Begroting_Deelnemers[[#This Row],[Verkorte Referentienaam Deelnemer]]),0)</f>
        <v>0</v>
      </c>
      <c r="AS41" s="8" cm="1">
        <f t="array" aca="1" ref="AS41" ca="1">IF(Table_LuT_Begroting_Deelnemers[[#This Row],[FO | IO | EO]]="FO",INDIRECT("Subsidie_FO_"&amp;Table_LuT_Begroting_Deelnemers[[#This Row],[Verkorte Referentienaam Deelnemer]]),0)</f>
        <v>0</v>
      </c>
      <c r="AT41" s="8" cm="1">
        <f t="array" aca="1" ref="AT41" ca="1">IF(Table_LuT_Begroting_Deelnemers[[#This Row],[FO | IO | EO]]="IO",INDIRECT("Subsidie_IO_"&amp;Table_LuT_Begroting_Deelnemers[[#This Row],[Verkorte Referentienaam Deelnemer]]),0)</f>
        <v>0</v>
      </c>
      <c r="AU41" s="8" cm="1">
        <f t="array" aca="1" ref="AU41" ca="1">IF(Table_LuT_Begroting_Deelnemers[[#This Row],[FO | IO | EO]]="EO",INDIRECT("Subsidie_EO_"&amp;Table_LuT_Begroting_Deelnemers[[#This Row],[Verkorte Referentienaam Deelnemer]]),0)</f>
        <v>0</v>
      </c>
      <c r="AV41" s="8">
        <f ca="1">SUM(Table_LuT_Begroting_Deelnemers[[#This Row],[Gevraagde Subsidie FO]:[Gevraagde Subsidie EO]])</f>
        <v>0</v>
      </c>
      <c r="AW41" s="3"/>
      <c r="AX41" s="3"/>
      <c r="AY41" s="3"/>
      <c r="AZ41" s="3"/>
    </row>
    <row r="42" spans="1:52" ht="15" customHeight="1" x14ac:dyDescent="0.25">
      <c r="A42" s="2" t="s">
        <v>58</v>
      </c>
      <c r="B42" s="2" t="s">
        <v>83</v>
      </c>
      <c r="C42" s="3" t="str">
        <f>_xlfn.XLOOKUP(Table_LuT_Begroting_Deelnemers[[#This Row],[ID Deelnemer]],Table_LuT_Deelnemers[ID Deelnemer],Table_LuT_Deelnemers[Verkorte Referentienaam Deelnemer],"&lt;Not in LuT&gt;",0,1)</f>
        <v>DN1</v>
      </c>
      <c r="D42" s="3" t="str">
        <f>Table_LuT_Begroting_Deelnemers[[#This Row],[ID Deelnemer]]&amp;" # "&amp;Table_LuT_Begroting_Deelnemers[[#This Row],[FO | IO | EO]]</f>
        <v>Deelnemer 1 - Penvoerder # EO</v>
      </c>
      <c r="E42" s="3" t="b" cm="1">
        <f t="array" aca="1" ref="E42" ca="1">_xlfn.XLOOKUP(Table_LuT_Begroting_Deelnemers[[#This Row],[ID Deelnemer]],Table_LuT_Deelnemers[ID Deelnemer],INDIRECT("Table_LuT_Deelnemers["&amp;E$1&amp;"]"),"&lt;Not in LuT&gt;",0,1)</f>
        <v>0</v>
      </c>
      <c r="F42" s="3" t="b" cm="1">
        <f t="array" aca="1" ref="F42" ca="1">_xlfn.XLOOKUP(Table_LuT_Begroting_Deelnemers[[#This Row],[ID Deelnemer]],Table_LuT_Deelnemers[ID Deelnemer],INDIRECT("Table_LuT_Deelnemers["&amp;F$1&amp;"]"),"&lt;Not in LuT&gt;",0,1)</f>
        <v>0</v>
      </c>
      <c r="G42" s="3" t="b" cm="1">
        <f t="array" aca="1" ref="G42" ca="1">_xlfn.XLOOKUP(Table_LuT_Begroting_Deelnemers[[#This Row],[ID Deelnemer]],Table_LuT_Deelnemers[ID Deelnemer],INDIRECT("Table_LuT_Deelnemers["&amp;G$1&amp;"]"),"&lt;Not in LuT&gt;",0,1)</f>
        <v>1</v>
      </c>
      <c r="H42" s="3" t="b" cm="1">
        <f t="array" ref="H42">Var_MKB_Consortium</f>
        <v>1</v>
      </c>
      <c r="I42" s="3" t="b">
        <f ca="1">Table_LuT_Begroting_Deelnemers[[#This Row],[Is OO?]]</f>
        <v>0</v>
      </c>
      <c r="J42" s="3" t="str" cm="1">
        <f t="array" aca="1" ref="J42" ca="1">_xlfn.XLOOKUP(Table_LuT_Begroting_Deelnemers[[#This Row],[ID Deelnemer]],Table_LuT_Deelnemers[ID Deelnemer],INDIRECT("Table_LuT_Deelnemers["&amp;J$1&amp;"]"),"&lt;Not in LuT&gt;",0,1)</f>
        <v/>
      </c>
      <c r="K42" s="3" t="str" cm="1">
        <f t="array" aca="1" ref="K42" ca="1">_xlfn.XLOOKUP(Table_LuT_Begroting_Deelnemers[[#This Row],[ID Deelnemer]],Table_LuT_Deelnemers[ID Deelnemer],INDIRECT("Table_LuT_Deelnemers["&amp;K$1&amp;"]"),"&lt;Not in LuT&gt;",0,1)</f>
        <v/>
      </c>
      <c r="L42" s="8" cm="1">
        <f t="array" aca="1" ref="L42" ca="1">INDIRECT("'"&amp;$A42&amp;"'!Kosten_"&amp;Table_LuT_Begroting_Deelnemers[[#This Row],[FO | IO | EO]])</f>
        <v>0</v>
      </c>
      <c r="M42" s="8" cm="1">
        <f t="array" aca="1" ref="M42" ca="1">_xlfn.LET(_xlpm.maxsub_aux,INDIRECT("'"&amp;$A42&amp;"'!Max_Subsidie_"&amp;Table_LuT_Begroting_Deelnemers[[#This Row],[FO | IO | EO]]),IF(Var_Sub.instr.="MKB",IF(Table_LuT_Begroting_Deelnemers[[#This Row],[Is MKB?]],MIN(_xlpm.maxsub_aux,Var_MaxSub_MKB_call_MKB),MIN(_xlpm.maxsub_aux,Var_MaxSub_MKB_call_OO)),_xlpm.maxsub_aux))</f>
        <v>0</v>
      </c>
      <c r="N42" s="8">
        <f ca="1">Table_LuT_Begroting_Deelnemers[[#This Row],[Kosten]]-Table_LuT_Begroting_Deelnemers[[#This Row],[Maximale Subsidie - HTSM]]</f>
        <v>0</v>
      </c>
      <c r="O42" s="387" cm="1">
        <f t="array" aca="1" ref="O42"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42" s="394">
        <f ca="1">Table_LuT_Begroting_Deelnemers[[#This Row],[Maximale Subsidie % - wettelijk]]*Table_LuT_Begroting_Deelnemers[[#This Row],[Kosten]]</f>
        <v>0</v>
      </c>
      <c r="Q42"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4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4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42" s="8">
        <f ca="1">Table_LuT_Begroting_Deelnemers[[#This Row],[Kosten OO]]-Table_LuT_Begroting_Deelnemers[[#This Row],[Maximale Subsidie OO - HTSM]]</f>
        <v>0</v>
      </c>
      <c r="U4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42"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4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4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42" s="8">
        <f ca="1">Table_LuT_Begroting_Deelnemers[[#This Row],[Kosten PP]]-Table_LuT_Begroting_Deelnemers[[#This Row],[Maximale Subsidie PP - HTSM]]</f>
        <v>0</v>
      </c>
      <c r="Z4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42"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4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4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42" s="8">
        <f ca="1">Table_LuT_Begroting_Deelnemers[[#This Row],[Kosten GB]]-Table_LuT_Begroting_Deelnemers[[#This Row],[Maximale Subsidie GB - HTSM]]</f>
        <v>0</v>
      </c>
      <c r="AE4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42"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4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4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42" s="8">
        <f ca="1">Table_LuT_Begroting_Deelnemers[[#This Row],[Kosten MKB]]-Table_LuT_Begroting_Deelnemers[[#This Row],[Maximale Subsidie MKB - HTSM]]</f>
        <v>0</v>
      </c>
      <c r="AJ4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4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42" s="8">
        <f ca="1">MIN(Table_LuT_Begroting_Deelnemers[[#This Row],[Gegenereerde Subsidie - OO+MKB]],Table_LuT_Begroting_Deelnemers[[#This Row],[Maximale Subsidie OO - overheid]])</f>
        <v>0</v>
      </c>
      <c r="AM42" s="8" cm="1">
        <f t="array" aca="1" ref="AM42"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42" s="8" cm="1">
        <f t="array" aca="1" ref="AN42" ca="1">IF(Table_LuT_Begroting_Deelnemers[[#This Row],[FO | IO | EO]]="FO",INDIRECT("Cash_"&amp;Table_LuT_Begroting_Deelnemers[[#This Row],[Verkorte Referentienaam Deelnemer]]),0)</f>
        <v>0</v>
      </c>
      <c r="AO42" s="8" cm="1">
        <f t="array" aca="1" ref="AO42" ca="1">IF(Table_LuT_Begroting_Deelnemers[[#This Row],[FO | IO | EO]]="FO",INDIRECT("Cash_Ontvangen_"&amp;Table_LuT_Begroting_Deelnemers[[#This Row],[Verkorte Referentienaam Deelnemer]]),0)</f>
        <v>0</v>
      </c>
      <c r="AP42" s="8">
        <f ca="1">IF(Table_LuT_Begroting_Deelnemers[[#This Row],[Is OO?]],Table_LuT_Begroting_Deelnemers[[#This Row],[Cash Ontvangen]],0)</f>
        <v>0</v>
      </c>
      <c r="AQ42" s="8" cm="1">
        <f t="array" aca="1" ref="AQ42" ca="1">IF(Table_LuT_Begroting_Deelnemers[[#This Row],[FO | IO | EO]]="FO",INDIRECT("In_kind_"&amp;Table_LuT_Begroting_Deelnemers[[#This Row],[Verkorte Referentienaam Deelnemer]]),0)</f>
        <v>0</v>
      </c>
      <c r="AR42" s="8" cm="1">
        <f t="array" aca="1" ref="AR42" ca="1">IF(Table_LuT_Begroting_Deelnemers[[#This Row],[FO | IO | EO]]="FO",INDIRECT("Overige_Subsidies_"&amp;Table_LuT_Begroting_Deelnemers[[#This Row],[Verkorte Referentienaam Deelnemer]]),0)</f>
        <v>0</v>
      </c>
      <c r="AS42" s="8" cm="1">
        <f t="array" aca="1" ref="AS42" ca="1">IF(Table_LuT_Begroting_Deelnemers[[#This Row],[FO | IO | EO]]="FO",INDIRECT("Subsidie_FO_"&amp;Table_LuT_Begroting_Deelnemers[[#This Row],[Verkorte Referentienaam Deelnemer]]),0)</f>
        <v>0</v>
      </c>
      <c r="AT42" s="8" cm="1">
        <f t="array" aca="1" ref="AT42" ca="1">IF(Table_LuT_Begroting_Deelnemers[[#This Row],[FO | IO | EO]]="IO",INDIRECT("Subsidie_IO_"&amp;Table_LuT_Begroting_Deelnemers[[#This Row],[Verkorte Referentienaam Deelnemer]]),0)</f>
        <v>0</v>
      </c>
      <c r="AU42" s="8" cm="1">
        <f t="array" aca="1" ref="AU42" ca="1">IF(Table_LuT_Begroting_Deelnemers[[#This Row],[FO | IO | EO]]="EO",INDIRECT("Subsidie_EO_"&amp;Table_LuT_Begroting_Deelnemers[[#This Row],[Verkorte Referentienaam Deelnemer]]),0)</f>
        <v>0</v>
      </c>
      <c r="AV42" s="8">
        <f ca="1">SUM(Table_LuT_Begroting_Deelnemers[[#This Row],[Gevraagde Subsidie FO]:[Gevraagde Subsidie EO]])</f>
        <v>0</v>
      </c>
      <c r="AW42" s="3"/>
      <c r="AX42" s="3"/>
      <c r="AY42" s="3"/>
      <c r="AZ42" s="3"/>
    </row>
    <row r="43" spans="1:52" ht="15" customHeight="1" x14ac:dyDescent="0.25">
      <c r="A43" s="2" t="s">
        <v>59</v>
      </c>
      <c r="B43" s="2" t="s">
        <v>83</v>
      </c>
      <c r="C43" s="3" t="str">
        <f>_xlfn.XLOOKUP(Table_LuT_Begroting_Deelnemers[[#This Row],[ID Deelnemer]],Table_LuT_Deelnemers[ID Deelnemer],Table_LuT_Deelnemers[Verkorte Referentienaam Deelnemer],"&lt;Not in LuT&gt;",0,1)</f>
        <v>DN2</v>
      </c>
      <c r="D43" s="3" t="str">
        <f>Table_LuT_Begroting_Deelnemers[[#This Row],[ID Deelnemer]]&amp;" # "&amp;Table_LuT_Begroting_Deelnemers[[#This Row],[FO | IO | EO]]</f>
        <v>Deelnemer 2 # EO</v>
      </c>
      <c r="E43" s="3" t="b" cm="1">
        <f t="array" aca="1" ref="E43" ca="1">_xlfn.XLOOKUP(Table_LuT_Begroting_Deelnemers[[#This Row],[ID Deelnemer]],Table_LuT_Deelnemers[ID Deelnemer],INDIRECT("Table_LuT_Deelnemers["&amp;E$1&amp;"]"),"&lt;Not in LuT&gt;",0,1)</f>
        <v>0</v>
      </c>
      <c r="F43" s="3" t="b" cm="1">
        <f t="array" aca="1" ref="F43" ca="1">_xlfn.XLOOKUP(Table_LuT_Begroting_Deelnemers[[#This Row],[ID Deelnemer]],Table_LuT_Deelnemers[ID Deelnemer],INDIRECT("Table_LuT_Deelnemers["&amp;F$1&amp;"]"),"&lt;Not in LuT&gt;",0,1)</f>
        <v>0</v>
      </c>
      <c r="G43" s="3" t="b" cm="1">
        <f t="array" aca="1" ref="G43" ca="1">_xlfn.XLOOKUP(Table_LuT_Begroting_Deelnemers[[#This Row],[ID Deelnemer]],Table_LuT_Deelnemers[ID Deelnemer],INDIRECT("Table_LuT_Deelnemers["&amp;G$1&amp;"]"),"&lt;Not in LuT&gt;",0,1)</f>
        <v>0</v>
      </c>
      <c r="H43" s="3" t="b" cm="1">
        <f t="array" ref="H43">Var_MKB_Consortium</f>
        <v>1</v>
      </c>
      <c r="I43" s="3" t="b">
        <f ca="1">Table_LuT_Begroting_Deelnemers[[#This Row],[Is OO?]]</f>
        <v>0</v>
      </c>
      <c r="J43" s="3" t="str" cm="1">
        <f t="array" aca="1" ref="J43" ca="1">_xlfn.XLOOKUP(Table_LuT_Begroting_Deelnemers[[#This Row],[ID Deelnemer]],Table_LuT_Deelnemers[ID Deelnemer],INDIRECT("Table_LuT_Deelnemers["&amp;J$1&amp;"]"),"&lt;Not in LuT&gt;",0,1)</f>
        <v/>
      </c>
      <c r="K43" s="3" t="str" cm="1">
        <f t="array" aca="1" ref="K43" ca="1">_xlfn.XLOOKUP(Table_LuT_Begroting_Deelnemers[[#This Row],[ID Deelnemer]],Table_LuT_Deelnemers[ID Deelnemer],INDIRECT("Table_LuT_Deelnemers["&amp;K$1&amp;"]"),"&lt;Not in LuT&gt;",0,1)</f>
        <v/>
      </c>
      <c r="L43" s="8" cm="1">
        <f t="array" aca="1" ref="L43" ca="1">INDIRECT("'"&amp;$A43&amp;"'!Kosten_"&amp;Table_LuT_Begroting_Deelnemers[[#This Row],[FO | IO | EO]])</f>
        <v>0</v>
      </c>
      <c r="M43" s="8" cm="1">
        <f t="array" aca="1" ref="M43" ca="1">_xlfn.LET(_xlpm.maxsub_aux,INDIRECT("'"&amp;$A43&amp;"'!Max_Subsidie_"&amp;Table_LuT_Begroting_Deelnemers[[#This Row],[FO | IO | EO]]),IF(Var_Sub.instr.="MKB",IF(Table_LuT_Begroting_Deelnemers[[#This Row],[Is MKB?]],MIN(_xlpm.maxsub_aux,Var_MaxSub_MKB_call_MKB),MIN(_xlpm.maxsub_aux,Var_MaxSub_MKB_call_OO)),_xlpm.maxsub_aux))</f>
        <v>0</v>
      </c>
      <c r="N43" s="8">
        <f ca="1">Table_LuT_Begroting_Deelnemers[[#This Row],[Kosten]]-Table_LuT_Begroting_Deelnemers[[#This Row],[Maximale Subsidie - HTSM]]</f>
        <v>0</v>
      </c>
      <c r="O43" s="387" cm="1">
        <f t="array" aca="1" ref="O43"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43" s="394">
        <f ca="1">Table_LuT_Begroting_Deelnemers[[#This Row],[Maximale Subsidie % - wettelijk]]*Table_LuT_Begroting_Deelnemers[[#This Row],[Kosten]]</f>
        <v>0</v>
      </c>
      <c r="Q43"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4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4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43" s="8">
        <f ca="1">Table_LuT_Begroting_Deelnemers[[#This Row],[Kosten OO]]-Table_LuT_Begroting_Deelnemers[[#This Row],[Maximale Subsidie OO - HTSM]]</f>
        <v>0</v>
      </c>
      <c r="U4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43"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4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4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43" s="8">
        <f ca="1">Table_LuT_Begroting_Deelnemers[[#This Row],[Kosten PP]]-Table_LuT_Begroting_Deelnemers[[#This Row],[Maximale Subsidie PP - HTSM]]</f>
        <v>0</v>
      </c>
      <c r="Z4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43"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4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4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43" s="8">
        <f ca="1">Table_LuT_Begroting_Deelnemers[[#This Row],[Kosten GB]]-Table_LuT_Begroting_Deelnemers[[#This Row],[Maximale Subsidie GB - HTSM]]</f>
        <v>0</v>
      </c>
      <c r="AE4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43"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4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4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43" s="8">
        <f ca="1">Table_LuT_Begroting_Deelnemers[[#This Row],[Kosten MKB]]-Table_LuT_Begroting_Deelnemers[[#This Row],[Maximale Subsidie MKB - HTSM]]</f>
        <v>0</v>
      </c>
      <c r="AJ4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4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43" s="8">
        <f ca="1">MIN(Table_LuT_Begroting_Deelnemers[[#This Row],[Gegenereerde Subsidie - OO+MKB]],Table_LuT_Begroting_Deelnemers[[#This Row],[Maximale Subsidie OO - overheid]])</f>
        <v>0</v>
      </c>
      <c r="AM43" s="8" cm="1">
        <f t="array" aca="1" ref="AM43"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43" s="8" cm="1">
        <f t="array" aca="1" ref="AN43" ca="1">IF(Table_LuT_Begroting_Deelnemers[[#This Row],[FO | IO | EO]]="FO",INDIRECT("Cash_"&amp;Table_LuT_Begroting_Deelnemers[[#This Row],[Verkorte Referentienaam Deelnemer]]),0)</f>
        <v>0</v>
      </c>
      <c r="AO43" s="8" cm="1">
        <f t="array" aca="1" ref="AO43" ca="1">IF(Table_LuT_Begroting_Deelnemers[[#This Row],[FO | IO | EO]]="FO",INDIRECT("Cash_Ontvangen_"&amp;Table_LuT_Begroting_Deelnemers[[#This Row],[Verkorte Referentienaam Deelnemer]]),0)</f>
        <v>0</v>
      </c>
      <c r="AP43" s="8">
        <f ca="1">IF(Table_LuT_Begroting_Deelnemers[[#This Row],[Is OO?]],Table_LuT_Begroting_Deelnemers[[#This Row],[Cash Ontvangen]],0)</f>
        <v>0</v>
      </c>
      <c r="AQ43" s="8" cm="1">
        <f t="array" aca="1" ref="AQ43" ca="1">IF(Table_LuT_Begroting_Deelnemers[[#This Row],[FO | IO | EO]]="FO",INDIRECT("In_kind_"&amp;Table_LuT_Begroting_Deelnemers[[#This Row],[Verkorte Referentienaam Deelnemer]]),0)</f>
        <v>0</v>
      </c>
      <c r="AR43" s="8" cm="1">
        <f t="array" aca="1" ref="AR43" ca="1">IF(Table_LuT_Begroting_Deelnemers[[#This Row],[FO | IO | EO]]="FO",INDIRECT("Overige_Subsidies_"&amp;Table_LuT_Begroting_Deelnemers[[#This Row],[Verkorte Referentienaam Deelnemer]]),0)</f>
        <v>0</v>
      </c>
      <c r="AS43" s="8" cm="1">
        <f t="array" aca="1" ref="AS43" ca="1">IF(Table_LuT_Begroting_Deelnemers[[#This Row],[FO | IO | EO]]="FO",INDIRECT("Subsidie_FO_"&amp;Table_LuT_Begroting_Deelnemers[[#This Row],[Verkorte Referentienaam Deelnemer]]),0)</f>
        <v>0</v>
      </c>
      <c r="AT43" s="8" cm="1">
        <f t="array" aca="1" ref="AT43" ca="1">IF(Table_LuT_Begroting_Deelnemers[[#This Row],[FO | IO | EO]]="IO",INDIRECT("Subsidie_IO_"&amp;Table_LuT_Begroting_Deelnemers[[#This Row],[Verkorte Referentienaam Deelnemer]]),0)</f>
        <v>0</v>
      </c>
      <c r="AU43" s="8" cm="1">
        <f t="array" aca="1" ref="AU43" ca="1">IF(Table_LuT_Begroting_Deelnemers[[#This Row],[FO | IO | EO]]="EO",INDIRECT("Subsidie_EO_"&amp;Table_LuT_Begroting_Deelnemers[[#This Row],[Verkorte Referentienaam Deelnemer]]),0)</f>
        <v>0</v>
      </c>
      <c r="AV43" s="8">
        <f ca="1">SUM(Table_LuT_Begroting_Deelnemers[[#This Row],[Gevraagde Subsidie FO]:[Gevraagde Subsidie EO]])</f>
        <v>0</v>
      </c>
      <c r="AW43" s="3"/>
      <c r="AX43" s="3"/>
      <c r="AY43" s="3"/>
      <c r="AZ43" s="3"/>
    </row>
    <row r="44" spans="1:52" ht="15" customHeight="1" x14ac:dyDescent="0.25">
      <c r="A44" s="2" t="s">
        <v>60</v>
      </c>
      <c r="B44" s="2" t="s">
        <v>83</v>
      </c>
      <c r="C44" s="3" t="str">
        <f>_xlfn.XLOOKUP(Table_LuT_Begroting_Deelnemers[[#This Row],[ID Deelnemer]],Table_LuT_Deelnemers[ID Deelnemer],Table_LuT_Deelnemers[Verkorte Referentienaam Deelnemer],"&lt;Not in LuT&gt;",0,1)</f>
        <v>DN3</v>
      </c>
      <c r="D44" s="3" t="str">
        <f>Table_LuT_Begroting_Deelnemers[[#This Row],[ID Deelnemer]]&amp;" # "&amp;Table_LuT_Begroting_Deelnemers[[#This Row],[FO | IO | EO]]</f>
        <v>Deelnemer 3 # EO</v>
      </c>
      <c r="E44" s="3" t="b" cm="1">
        <f t="array" aca="1" ref="E44" ca="1">_xlfn.XLOOKUP(Table_LuT_Begroting_Deelnemers[[#This Row],[ID Deelnemer]],Table_LuT_Deelnemers[ID Deelnemer],INDIRECT("Table_LuT_Deelnemers["&amp;E$1&amp;"]"),"&lt;Not in LuT&gt;",0,1)</f>
        <v>0</v>
      </c>
      <c r="F44" s="3" t="b" cm="1">
        <f t="array" aca="1" ref="F44" ca="1">_xlfn.XLOOKUP(Table_LuT_Begroting_Deelnemers[[#This Row],[ID Deelnemer]],Table_LuT_Deelnemers[ID Deelnemer],INDIRECT("Table_LuT_Deelnemers["&amp;F$1&amp;"]"),"&lt;Not in LuT&gt;",0,1)</f>
        <v>0</v>
      </c>
      <c r="G44" s="3" t="b" cm="1">
        <f t="array" aca="1" ref="G44" ca="1">_xlfn.XLOOKUP(Table_LuT_Begroting_Deelnemers[[#This Row],[ID Deelnemer]],Table_LuT_Deelnemers[ID Deelnemer],INDIRECT("Table_LuT_Deelnemers["&amp;G$1&amp;"]"),"&lt;Not in LuT&gt;",0,1)</f>
        <v>0</v>
      </c>
      <c r="H44" s="3" t="b" cm="1">
        <f t="array" ref="H44">Var_MKB_Consortium</f>
        <v>1</v>
      </c>
      <c r="I44" s="3" t="b">
        <f ca="1">Table_LuT_Begroting_Deelnemers[[#This Row],[Is OO?]]</f>
        <v>0</v>
      </c>
      <c r="J44" s="3" t="str" cm="1">
        <f t="array" aca="1" ref="J44" ca="1">_xlfn.XLOOKUP(Table_LuT_Begroting_Deelnemers[[#This Row],[ID Deelnemer]],Table_LuT_Deelnemers[ID Deelnemer],INDIRECT("Table_LuT_Deelnemers["&amp;J$1&amp;"]"),"&lt;Not in LuT&gt;",0,1)</f>
        <v/>
      </c>
      <c r="K44" s="3" t="str" cm="1">
        <f t="array" aca="1" ref="K44" ca="1">_xlfn.XLOOKUP(Table_LuT_Begroting_Deelnemers[[#This Row],[ID Deelnemer]],Table_LuT_Deelnemers[ID Deelnemer],INDIRECT("Table_LuT_Deelnemers["&amp;K$1&amp;"]"),"&lt;Not in LuT&gt;",0,1)</f>
        <v/>
      </c>
      <c r="L44" s="8" cm="1">
        <f t="array" aca="1" ref="L44" ca="1">INDIRECT("'"&amp;$A44&amp;"'!Kosten_"&amp;Table_LuT_Begroting_Deelnemers[[#This Row],[FO | IO | EO]])</f>
        <v>0</v>
      </c>
      <c r="M44" s="8" cm="1">
        <f t="array" aca="1" ref="M44" ca="1">_xlfn.LET(_xlpm.maxsub_aux,INDIRECT("'"&amp;$A44&amp;"'!Max_Subsidie_"&amp;Table_LuT_Begroting_Deelnemers[[#This Row],[FO | IO | EO]]),IF(Var_Sub.instr.="MKB",IF(Table_LuT_Begroting_Deelnemers[[#This Row],[Is MKB?]],MIN(_xlpm.maxsub_aux,Var_MaxSub_MKB_call_MKB),MIN(_xlpm.maxsub_aux,Var_MaxSub_MKB_call_OO)),_xlpm.maxsub_aux))</f>
        <v>0</v>
      </c>
      <c r="N44" s="8">
        <f ca="1">Table_LuT_Begroting_Deelnemers[[#This Row],[Kosten]]-Table_LuT_Begroting_Deelnemers[[#This Row],[Maximale Subsidie - HTSM]]</f>
        <v>0</v>
      </c>
      <c r="O44" s="387" cm="1">
        <f t="array" aca="1" ref="O44"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44" s="394">
        <f ca="1">Table_LuT_Begroting_Deelnemers[[#This Row],[Maximale Subsidie % - wettelijk]]*Table_LuT_Begroting_Deelnemers[[#This Row],[Kosten]]</f>
        <v>0</v>
      </c>
      <c r="Q44"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4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4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44" s="8">
        <f ca="1">Table_LuT_Begroting_Deelnemers[[#This Row],[Kosten OO]]-Table_LuT_Begroting_Deelnemers[[#This Row],[Maximale Subsidie OO - HTSM]]</f>
        <v>0</v>
      </c>
      <c r="U4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44"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4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4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44" s="8">
        <f ca="1">Table_LuT_Begroting_Deelnemers[[#This Row],[Kosten PP]]-Table_LuT_Begroting_Deelnemers[[#This Row],[Maximale Subsidie PP - HTSM]]</f>
        <v>0</v>
      </c>
      <c r="Z4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44"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4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4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44" s="8">
        <f ca="1">Table_LuT_Begroting_Deelnemers[[#This Row],[Kosten GB]]-Table_LuT_Begroting_Deelnemers[[#This Row],[Maximale Subsidie GB - HTSM]]</f>
        <v>0</v>
      </c>
      <c r="AE4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44"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4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4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44" s="8">
        <f ca="1">Table_LuT_Begroting_Deelnemers[[#This Row],[Kosten MKB]]-Table_LuT_Begroting_Deelnemers[[#This Row],[Maximale Subsidie MKB - HTSM]]</f>
        <v>0</v>
      </c>
      <c r="AJ4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4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44" s="8">
        <f ca="1">MIN(Table_LuT_Begroting_Deelnemers[[#This Row],[Gegenereerde Subsidie - OO+MKB]],Table_LuT_Begroting_Deelnemers[[#This Row],[Maximale Subsidie OO - overheid]])</f>
        <v>0</v>
      </c>
      <c r="AM44" s="8" cm="1">
        <f t="array" aca="1" ref="AM44"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44" s="8" cm="1">
        <f t="array" aca="1" ref="AN44" ca="1">IF(Table_LuT_Begroting_Deelnemers[[#This Row],[FO | IO | EO]]="FO",INDIRECT("Cash_"&amp;Table_LuT_Begroting_Deelnemers[[#This Row],[Verkorte Referentienaam Deelnemer]]),0)</f>
        <v>0</v>
      </c>
      <c r="AO44" s="8" cm="1">
        <f t="array" aca="1" ref="AO44" ca="1">IF(Table_LuT_Begroting_Deelnemers[[#This Row],[FO | IO | EO]]="FO",INDIRECT("Cash_Ontvangen_"&amp;Table_LuT_Begroting_Deelnemers[[#This Row],[Verkorte Referentienaam Deelnemer]]),0)</f>
        <v>0</v>
      </c>
      <c r="AP44" s="8">
        <f ca="1">IF(Table_LuT_Begroting_Deelnemers[[#This Row],[Is OO?]],Table_LuT_Begroting_Deelnemers[[#This Row],[Cash Ontvangen]],0)</f>
        <v>0</v>
      </c>
      <c r="AQ44" s="8" cm="1">
        <f t="array" aca="1" ref="AQ44" ca="1">IF(Table_LuT_Begroting_Deelnemers[[#This Row],[FO | IO | EO]]="FO",INDIRECT("In_kind_"&amp;Table_LuT_Begroting_Deelnemers[[#This Row],[Verkorte Referentienaam Deelnemer]]),0)</f>
        <v>0</v>
      </c>
      <c r="AR44" s="8" cm="1">
        <f t="array" aca="1" ref="AR44" ca="1">IF(Table_LuT_Begroting_Deelnemers[[#This Row],[FO | IO | EO]]="FO",INDIRECT("Overige_Subsidies_"&amp;Table_LuT_Begroting_Deelnemers[[#This Row],[Verkorte Referentienaam Deelnemer]]),0)</f>
        <v>0</v>
      </c>
      <c r="AS44" s="8" cm="1">
        <f t="array" aca="1" ref="AS44" ca="1">IF(Table_LuT_Begroting_Deelnemers[[#This Row],[FO | IO | EO]]="FO",INDIRECT("Subsidie_FO_"&amp;Table_LuT_Begroting_Deelnemers[[#This Row],[Verkorte Referentienaam Deelnemer]]),0)</f>
        <v>0</v>
      </c>
      <c r="AT44" s="8" cm="1">
        <f t="array" aca="1" ref="AT44" ca="1">IF(Table_LuT_Begroting_Deelnemers[[#This Row],[FO | IO | EO]]="IO",INDIRECT("Subsidie_IO_"&amp;Table_LuT_Begroting_Deelnemers[[#This Row],[Verkorte Referentienaam Deelnemer]]),0)</f>
        <v>0</v>
      </c>
      <c r="AU44" s="8" cm="1">
        <f t="array" aca="1" ref="AU44" ca="1">IF(Table_LuT_Begroting_Deelnemers[[#This Row],[FO | IO | EO]]="EO",INDIRECT("Subsidie_EO_"&amp;Table_LuT_Begroting_Deelnemers[[#This Row],[Verkorte Referentienaam Deelnemer]]),0)</f>
        <v>0</v>
      </c>
      <c r="AV44" s="8">
        <f ca="1">SUM(Table_LuT_Begroting_Deelnemers[[#This Row],[Gevraagde Subsidie FO]:[Gevraagde Subsidie EO]])</f>
        <v>0</v>
      </c>
      <c r="AW44" s="3"/>
      <c r="AX44" s="3"/>
      <c r="AY44" s="3"/>
      <c r="AZ44" s="3"/>
    </row>
    <row r="45" spans="1:52" ht="15" customHeight="1" x14ac:dyDescent="0.25">
      <c r="A45" s="2" t="s">
        <v>61</v>
      </c>
      <c r="B45" s="2" t="s">
        <v>83</v>
      </c>
      <c r="C45" s="3" t="str">
        <f>_xlfn.XLOOKUP(Table_LuT_Begroting_Deelnemers[[#This Row],[ID Deelnemer]],Table_LuT_Deelnemers[ID Deelnemer],Table_LuT_Deelnemers[Verkorte Referentienaam Deelnemer],"&lt;Not in LuT&gt;",0,1)</f>
        <v>DN4</v>
      </c>
      <c r="D45" s="3" t="str">
        <f>Table_LuT_Begroting_Deelnemers[[#This Row],[ID Deelnemer]]&amp;" # "&amp;Table_LuT_Begroting_Deelnemers[[#This Row],[FO | IO | EO]]</f>
        <v>Deelnemer 4 # EO</v>
      </c>
      <c r="E45" s="3" t="b" cm="1">
        <f t="array" aca="1" ref="E45" ca="1">_xlfn.XLOOKUP(Table_LuT_Begroting_Deelnemers[[#This Row],[ID Deelnemer]],Table_LuT_Deelnemers[ID Deelnemer],INDIRECT("Table_LuT_Deelnemers["&amp;E$1&amp;"]"),"&lt;Not in LuT&gt;",0,1)</f>
        <v>0</v>
      </c>
      <c r="F45" s="3" t="b" cm="1">
        <f t="array" aca="1" ref="F45" ca="1">_xlfn.XLOOKUP(Table_LuT_Begroting_Deelnemers[[#This Row],[ID Deelnemer]],Table_LuT_Deelnemers[ID Deelnemer],INDIRECT("Table_LuT_Deelnemers["&amp;F$1&amp;"]"),"&lt;Not in LuT&gt;",0,1)</f>
        <v>0</v>
      </c>
      <c r="G45" s="3" t="b" cm="1">
        <f t="array" aca="1" ref="G45" ca="1">_xlfn.XLOOKUP(Table_LuT_Begroting_Deelnemers[[#This Row],[ID Deelnemer]],Table_LuT_Deelnemers[ID Deelnemer],INDIRECT("Table_LuT_Deelnemers["&amp;G$1&amp;"]"),"&lt;Not in LuT&gt;",0,1)</f>
        <v>0</v>
      </c>
      <c r="H45" s="3" t="b" cm="1">
        <f t="array" ref="H45">Var_MKB_Consortium</f>
        <v>1</v>
      </c>
      <c r="I45" s="3" t="b">
        <f ca="1">Table_LuT_Begroting_Deelnemers[[#This Row],[Is OO?]]</f>
        <v>0</v>
      </c>
      <c r="J45" s="3" t="str" cm="1">
        <f t="array" aca="1" ref="J45" ca="1">_xlfn.XLOOKUP(Table_LuT_Begroting_Deelnemers[[#This Row],[ID Deelnemer]],Table_LuT_Deelnemers[ID Deelnemer],INDIRECT("Table_LuT_Deelnemers["&amp;J$1&amp;"]"),"&lt;Not in LuT&gt;",0,1)</f>
        <v/>
      </c>
      <c r="K45" s="3" t="str" cm="1">
        <f t="array" aca="1" ref="K45" ca="1">_xlfn.XLOOKUP(Table_LuT_Begroting_Deelnemers[[#This Row],[ID Deelnemer]],Table_LuT_Deelnemers[ID Deelnemer],INDIRECT("Table_LuT_Deelnemers["&amp;K$1&amp;"]"),"&lt;Not in LuT&gt;",0,1)</f>
        <v/>
      </c>
      <c r="L45" s="8" cm="1">
        <f t="array" aca="1" ref="L45" ca="1">INDIRECT("'"&amp;$A45&amp;"'!Kosten_"&amp;Table_LuT_Begroting_Deelnemers[[#This Row],[FO | IO | EO]])</f>
        <v>0</v>
      </c>
      <c r="M45" s="8" cm="1">
        <f t="array" aca="1" ref="M45" ca="1">_xlfn.LET(_xlpm.maxsub_aux,INDIRECT("'"&amp;$A45&amp;"'!Max_Subsidie_"&amp;Table_LuT_Begroting_Deelnemers[[#This Row],[FO | IO | EO]]),IF(Var_Sub.instr.="MKB",IF(Table_LuT_Begroting_Deelnemers[[#This Row],[Is MKB?]],MIN(_xlpm.maxsub_aux,Var_MaxSub_MKB_call_MKB),MIN(_xlpm.maxsub_aux,Var_MaxSub_MKB_call_OO)),_xlpm.maxsub_aux))</f>
        <v>0</v>
      </c>
      <c r="N45" s="8">
        <f ca="1">Table_LuT_Begroting_Deelnemers[[#This Row],[Kosten]]-Table_LuT_Begroting_Deelnemers[[#This Row],[Maximale Subsidie - HTSM]]</f>
        <v>0</v>
      </c>
      <c r="O45" s="387" cm="1">
        <f t="array" aca="1" ref="O45"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45" s="394">
        <f ca="1">Table_LuT_Begroting_Deelnemers[[#This Row],[Maximale Subsidie % - wettelijk]]*Table_LuT_Begroting_Deelnemers[[#This Row],[Kosten]]</f>
        <v>0</v>
      </c>
      <c r="Q45"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4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4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45" s="8">
        <f ca="1">Table_LuT_Begroting_Deelnemers[[#This Row],[Kosten OO]]-Table_LuT_Begroting_Deelnemers[[#This Row],[Maximale Subsidie OO - HTSM]]</f>
        <v>0</v>
      </c>
      <c r="U4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45"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4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4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45" s="8">
        <f ca="1">Table_LuT_Begroting_Deelnemers[[#This Row],[Kosten PP]]-Table_LuT_Begroting_Deelnemers[[#This Row],[Maximale Subsidie PP - HTSM]]</f>
        <v>0</v>
      </c>
      <c r="Z4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45"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4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4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45" s="8">
        <f ca="1">Table_LuT_Begroting_Deelnemers[[#This Row],[Kosten GB]]-Table_LuT_Begroting_Deelnemers[[#This Row],[Maximale Subsidie GB - HTSM]]</f>
        <v>0</v>
      </c>
      <c r="AE4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45"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4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4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45" s="8">
        <f ca="1">Table_LuT_Begroting_Deelnemers[[#This Row],[Kosten MKB]]-Table_LuT_Begroting_Deelnemers[[#This Row],[Maximale Subsidie MKB - HTSM]]</f>
        <v>0</v>
      </c>
      <c r="AJ4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4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45" s="8">
        <f ca="1">MIN(Table_LuT_Begroting_Deelnemers[[#This Row],[Gegenereerde Subsidie - OO+MKB]],Table_LuT_Begroting_Deelnemers[[#This Row],[Maximale Subsidie OO - overheid]])</f>
        <v>0</v>
      </c>
      <c r="AM45" s="8" cm="1">
        <f t="array" aca="1" ref="AM45"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45" s="8" cm="1">
        <f t="array" aca="1" ref="AN45" ca="1">IF(Table_LuT_Begroting_Deelnemers[[#This Row],[FO | IO | EO]]="FO",INDIRECT("Cash_"&amp;Table_LuT_Begroting_Deelnemers[[#This Row],[Verkorte Referentienaam Deelnemer]]),0)</f>
        <v>0</v>
      </c>
      <c r="AO45" s="8" cm="1">
        <f t="array" aca="1" ref="AO45" ca="1">IF(Table_LuT_Begroting_Deelnemers[[#This Row],[FO | IO | EO]]="FO",INDIRECT("Cash_Ontvangen_"&amp;Table_LuT_Begroting_Deelnemers[[#This Row],[Verkorte Referentienaam Deelnemer]]),0)</f>
        <v>0</v>
      </c>
      <c r="AP45" s="8">
        <f ca="1">IF(Table_LuT_Begroting_Deelnemers[[#This Row],[Is OO?]],Table_LuT_Begroting_Deelnemers[[#This Row],[Cash Ontvangen]],0)</f>
        <v>0</v>
      </c>
      <c r="AQ45" s="8" cm="1">
        <f t="array" aca="1" ref="AQ45" ca="1">IF(Table_LuT_Begroting_Deelnemers[[#This Row],[FO | IO | EO]]="FO",INDIRECT("In_kind_"&amp;Table_LuT_Begroting_Deelnemers[[#This Row],[Verkorte Referentienaam Deelnemer]]),0)</f>
        <v>0</v>
      </c>
      <c r="AR45" s="8" cm="1">
        <f t="array" aca="1" ref="AR45" ca="1">IF(Table_LuT_Begroting_Deelnemers[[#This Row],[FO | IO | EO]]="FO",INDIRECT("Overige_Subsidies_"&amp;Table_LuT_Begroting_Deelnemers[[#This Row],[Verkorte Referentienaam Deelnemer]]),0)</f>
        <v>0</v>
      </c>
      <c r="AS45" s="8" cm="1">
        <f t="array" aca="1" ref="AS45" ca="1">IF(Table_LuT_Begroting_Deelnemers[[#This Row],[FO | IO | EO]]="FO",INDIRECT("Subsidie_FO_"&amp;Table_LuT_Begroting_Deelnemers[[#This Row],[Verkorte Referentienaam Deelnemer]]),0)</f>
        <v>0</v>
      </c>
      <c r="AT45" s="8" cm="1">
        <f t="array" aca="1" ref="AT45" ca="1">IF(Table_LuT_Begroting_Deelnemers[[#This Row],[FO | IO | EO]]="IO",INDIRECT("Subsidie_IO_"&amp;Table_LuT_Begroting_Deelnemers[[#This Row],[Verkorte Referentienaam Deelnemer]]),0)</f>
        <v>0</v>
      </c>
      <c r="AU45" s="8" cm="1">
        <f t="array" aca="1" ref="AU45" ca="1">IF(Table_LuT_Begroting_Deelnemers[[#This Row],[FO | IO | EO]]="EO",INDIRECT("Subsidie_EO_"&amp;Table_LuT_Begroting_Deelnemers[[#This Row],[Verkorte Referentienaam Deelnemer]]),0)</f>
        <v>0</v>
      </c>
      <c r="AV45" s="8">
        <f ca="1">SUM(Table_LuT_Begroting_Deelnemers[[#This Row],[Gevraagde Subsidie FO]:[Gevraagde Subsidie EO]])</f>
        <v>0</v>
      </c>
      <c r="AW45" s="3"/>
      <c r="AX45" s="3"/>
      <c r="AY45" s="3"/>
      <c r="AZ45" s="3"/>
    </row>
    <row r="46" spans="1:52" ht="15" customHeight="1" x14ac:dyDescent="0.25">
      <c r="A46" s="2" t="s">
        <v>62</v>
      </c>
      <c r="B46" s="2" t="s">
        <v>83</v>
      </c>
      <c r="C46" s="3" t="str">
        <f>_xlfn.XLOOKUP(Table_LuT_Begroting_Deelnemers[[#This Row],[ID Deelnemer]],Table_LuT_Deelnemers[ID Deelnemer],Table_LuT_Deelnemers[Verkorte Referentienaam Deelnemer],"&lt;Not in LuT&gt;",0,1)</f>
        <v>DN5</v>
      </c>
      <c r="D46" s="3" t="str">
        <f>Table_LuT_Begroting_Deelnemers[[#This Row],[ID Deelnemer]]&amp;" # "&amp;Table_LuT_Begroting_Deelnemers[[#This Row],[FO | IO | EO]]</f>
        <v>Deelnemer 5 # EO</v>
      </c>
      <c r="E46" s="3" t="b" cm="1">
        <f t="array" aca="1" ref="E46" ca="1">_xlfn.XLOOKUP(Table_LuT_Begroting_Deelnemers[[#This Row],[ID Deelnemer]],Table_LuT_Deelnemers[ID Deelnemer],INDIRECT("Table_LuT_Deelnemers["&amp;E$1&amp;"]"),"&lt;Not in LuT&gt;",0,1)</f>
        <v>0</v>
      </c>
      <c r="F46" s="3" t="b" cm="1">
        <f t="array" aca="1" ref="F46" ca="1">_xlfn.XLOOKUP(Table_LuT_Begroting_Deelnemers[[#This Row],[ID Deelnemer]],Table_LuT_Deelnemers[ID Deelnemer],INDIRECT("Table_LuT_Deelnemers["&amp;F$1&amp;"]"),"&lt;Not in LuT&gt;",0,1)</f>
        <v>0</v>
      </c>
      <c r="G46" s="3" t="b" cm="1">
        <f t="array" aca="1" ref="G46" ca="1">_xlfn.XLOOKUP(Table_LuT_Begroting_Deelnemers[[#This Row],[ID Deelnemer]],Table_LuT_Deelnemers[ID Deelnemer],INDIRECT("Table_LuT_Deelnemers["&amp;G$1&amp;"]"),"&lt;Not in LuT&gt;",0,1)</f>
        <v>0</v>
      </c>
      <c r="H46" s="3" t="b" cm="1">
        <f t="array" ref="H46">Var_MKB_Consortium</f>
        <v>1</v>
      </c>
      <c r="I46" s="3" t="b">
        <f ca="1">Table_LuT_Begroting_Deelnemers[[#This Row],[Is OO?]]</f>
        <v>0</v>
      </c>
      <c r="J46" s="3" t="str" cm="1">
        <f t="array" aca="1" ref="J46" ca="1">_xlfn.XLOOKUP(Table_LuT_Begroting_Deelnemers[[#This Row],[ID Deelnemer]],Table_LuT_Deelnemers[ID Deelnemer],INDIRECT("Table_LuT_Deelnemers["&amp;J$1&amp;"]"),"&lt;Not in LuT&gt;",0,1)</f>
        <v/>
      </c>
      <c r="K46" s="3" t="str" cm="1">
        <f t="array" aca="1" ref="K46" ca="1">_xlfn.XLOOKUP(Table_LuT_Begroting_Deelnemers[[#This Row],[ID Deelnemer]],Table_LuT_Deelnemers[ID Deelnemer],INDIRECT("Table_LuT_Deelnemers["&amp;K$1&amp;"]"),"&lt;Not in LuT&gt;",0,1)</f>
        <v/>
      </c>
      <c r="L46" s="8" cm="1">
        <f t="array" aca="1" ref="L46" ca="1">INDIRECT("'"&amp;$A46&amp;"'!Kosten_"&amp;Table_LuT_Begroting_Deelnemers[[#This Row],[FO | IO | EO]])</f>
        <v>0</v>
      </c>
      <c r="M46" s="8" cm="1">
        <f t="array" aca="1" ref="M46" ca="1">_xlfn.LET(_xlpm.maxsub_aux,INDIRECT("'"&amp;$A46&amp;"'!Max_Subsidie_"&amp;Table_LuT_Begroting_Deelnemers[[#This Row],[FO | IO | EO]]),IF(Var_Sub.instr.="MKB",IF(Table_LuT_Begroting_Deelnemers[[#This Row],[Is MKB?]],MIN(_xlpm.maxsub_aux,Var_MaxSub_MKB_call_MKB),MIN(_xlpm.maxsub_aux,Var_MaxSub_MKB_call_OO)),_xlpm.maxsub_aux))</f>
        <v>0</v>
      </c>
      <c r="N46" s="8">
        <f ca="1">Table_LuT_Begroting_Deelnemers[[#This Row],[Kosten]]-Table_LuT_Begroting_Deelnemers[[#This Row],[Maximale Subsidie - HTSM]]</f>
        <v>0</v>
      </c>
      <c r="O46" s="387" cm="1">
        <f t="array" aca="1" ref="O46"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46" s="394">
        <f ca="1">Table_LuT_Begroting_Deelnemers[[#This Row],[Maximale Subsidie % - wettelijk]]*Table_LuT_Begroting_Deelnemers[[#This Row],[Kosten]]</f>
        <v>0</v>
      </c>
      <c r="Q46"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4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4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46" s="8">
        <f ca="1">Table_LuT_Begroting_Deelnemers[[#This Row],[Kosten OO]]-Table_LuT_Begroting_Deelnemers[[#This Row],[Maximale Subsidie OO - HTSM]]</f>
        <v>0</v>
      </c>
      <c r="U4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46"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4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4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46" s="8">
        <f ca="1">Table_LuT_Begroting_Deelnemers[[#This Row],[Kosten PP]]-Table_LuT_Begroting_Deelnemers[[#This Row],[Maximale Subsidie PP - HTSM]]</f>
        <v>0</v>
      </c>
      <c r="Z4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46"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4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4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46" s="8">
        <f ca="1">Table_LuT_Begroting_Deelnemers[[#This Row],[Kosten GB]]-Table_LuT_Begroting_Deelnemers[[#This Row],[Maximale Subsidie GB - HTSM]]</f>
        <v>0</v>
      </c>
      <c r="AE4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46"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4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4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46" s="8">
        <f ca="1">Table_LuT_Begroting_Deelnemers[[#This Row],[Kosten MKB]]-Table_LuT_Begroting_Deelnemers[[#This Row],[Maximale Subsidie MKB - HTSM]]</f>
        <v>0</v>
      </c>
      <c r="AJ4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4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46" s="8">
        <f ca="1">MIN(Table_LuT_Begroting_Deelnemers[[#This Row],[Gegenereerde Subsidie - OO+MKB]],Table_LuT_Begroting_Deelnemers[[#This Row],[Maximale Subsidie OO - overheid]])</f>
        <v>0</v>
      </c>
      <c r="AM46" s="8" cm="1">
        <f t="array" aca="1" ref="AM46"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46" s="8" cm="1">
        <f t="array" aca="1" ref="AN46" ca="1">IF(Table_LuT_Begroting_Deelnemers[[#This Row],[FO | IO | EO]]="FO",INDIRECT("Cash_"&amp;Table_LuT_Begroting_Deelnemers[[#This Row],[Verkorte Referentienaam Deelnemer]]),0)</f>
        <v>0</v>
      </c>
      <c r="AO46" s="8" cm="1">
        <f t="array" aca="1" ref="AO46" ca="1">IF(Table_LuT_Begroting_Deelnemers[[#This Row],[FO | IO | EO]]="FO",INDIRECT("Cash_Ontvangen_"&amp;Table_LuT_Begroting_Deelnemers[[#This Row],[Verkorte Referentienaam Deelnemer]]),0)</f>
        <v>0</v>
      </c>
      <c r="AP46" s="8">
        <f ca="1">IF(Table_LuT_Begroting_Deelnemers[[#This Row],[Is OO?]],Table_LuT_Begroting_Deelnemers[[#This Row],[Cash Ontvangen]],0)</f>
        <v>0</v>
      </c>
      <c r="AQ46" s="8" cm="1">
        <f t="array" aca="1" ref="AQ46" ca="1">IF(Table_LuT_Begroting_Deelnemers[[#This Row],[FO | IO | EO]]="FO",INDIRECT("In_kind_"&amp;Table_LuT_Begroting_Deelnemers[[#This Row],[Verkorte Referentienaam Deelnemer]]),0)</f>
        <v>0</v>
      </c>
      <c r="AR46" s="8" cm="1">
        <f t="array" aca="1" ref="AR46" ca="1">IF(Table_LuT_Begroting_Deelnemers[[#This Row],[FO | IO | EO]]="FO",INDIRECT("Overige_Subsidies_"&amp;Table_LuT_Begroting_Deelnemers[[#This Row],[Verkorte Referentienaam Deelnemer]]),0)</f>
        <v>0</v>
      </c>
      <c r="AS46" s="8" cm="1">
        <f t="array" aca="1" ref="AS46" ca="1">IF(Table_LuT_Begroting_Deelnemers[[#This Row],[FO | IO | EO]]="FO",INDIRECT("Subsidie_FO_"&amp;Table_LuT_Begroting_Deelnemers[[#This Row],[Verkorte Referentienaam Deelnemer]]),0)</f>
        <v>0</v>
      </c>
      <c r="AT46" s="8" cm="1">
        <f t="array" aca="1" ref="AT46" ca="1">IF(Table_LuT_Begroting_Deelnemers[[#This Row],[FO | IO | EO]]="IO",INDIRECT("Subsidie_IO_"&amp;Table_LuT_Begroting_Deelnemers[[#This Row],[Verkorte Referentienaam Deelnemer]]),0)</f>
        <v>0</v>
      </c>
      <c r="AU46" s="8" cm="1">
        <f t="array" aca="1" ref="AU46" ca="1">IF(Table_LuT_Begroting_Deelnemers[[#This Row],[FO | IO | EO]]="EO",INDIRECT("Subsidie_EO_"&amp;Table_LuT_Begroting_Deelnemers[[#This Row],[Verkorte Referentienaam Deelnemer]]),0)</f>
        <v>0</v>
      </c>
      <c r="AV46" s="8">
        <f ca="1">SUM(Table_LuT_Begroting_Deelnemers[[#This Row],[Gevraagde Subsidie FO]:[Gevraagde Subsidie EO]])</f>
        <v>0</v>
      </c>
      <c r="AW46" s="3"/>
      <c r="AX46" s="3"/>
      <c r="AY46" s="3"/>
      <c r="AZ46" s="3"/>
    </row>
    <row r="47" spans="1:52" ht="15" customHeight="1" x14ac:dyDescent="0.25">
      <c r="A47" s="2" t="s">
        <v>63</v>
      </c>
      <c r="B47" s="2" t="s">
        <v>83</v>
      </c>
      <c r="C47" s="3" t="str">
        <f>_xlfn.XLOOKUP(Table_LuT_Begroting_Deelnemers[[#This Row],[ID Deelnemer]],Table_LuT_Deelnemers[ID Deelnemer],Table_LuT_Deelnemers[Verkorte Referentienaam Deelnemer],"&lt;Not in LuT&gt;",0,1)</f>
        <v>DN6</v>
      </c>
      <c r="D47" s="3" t="str">
        <f>Table_LuT_Begroting_Deelnemers[[#This Row],[ID Deelnemer]]&amp;" # "&amp;Table_LuT_Begroting_Deelnemers[[#This Row],[FO | IO | EO]]</f>
        <v>Deelnemer 6 # EO</v>
      </c>
      <c r="E47" s="3" t="b" cm="1">
        <f t="array" aca="1" ref="E47" ca="1">_xlfn.XLOOKUP(Table_LuT_Begroting_Deelnemers[[#This Row],[ID Deelnemer]],Table_LuT_Deelnemers[ID Deelnemer],INDIRECT("Table_LuT_Deelnemers["&amp;E$1&amp;"]"),"&lt;Not in LuT&gt;",0,1)</f>
        <v>0</v>
      </c>
      <c r="F47" s="3" t="b" cm="1">
        <f t="array" aca="1" ref="F47" ca="1">_xlfn.XLOOKUP(Table_LuT_Begroting_Deelnemers[[#This Row],[ID Deelnemer]],Table_LuT_Deelnemers[ID Deelnemer],INDIRECT("Table_LuT_Deelnemers["&amp;F$1&amp;"]"),"&lt;Not in LuT&gt;",0,1)</f>
        <v>0</v>
      </c>
      <c r="G47" s="3" t="b" cm="1">
        <f t="array" aca="1" ref="G47" ca="1">_xlfn.XLOOKUP(Table_LuT_Begroting_Deelnemers[[#This Row],[ID Deelnemer]],Table_LuT_Deelnemers[ID Deelnemer],INDIRECT("Table_LuT_Deelnemers["&amp;G$1&amp;"]"),"&lt;Not in LuT&gt;",0,1)</f>
        <v>0</v>
      </c>
      <c r="H47" s="3" t="b" cm="1">
        <f t="array" ref="H47">Var_MKB_Consortium</f>
        <v>1</v>
      </c>
      <c r="I47" s="3" t="b">
        <f ca="1">Table_LuT_Begroting_Deelnemers[[#This Row],[Is OO?]]</f>
        <v>0</v>
      </c>
      <c r="J47" s="3" t="str" cm="1">
        <f t="array" aca="1" ref="J47" ca="1">_xlfn.XLOOKUP(Table_LuT_Begroting_Deelnemers[[#This Row],[ID Deelnemer]],Table_LuT_Deelnemers[ID Deelnemer],INDIRECT("Table_LuT_Deelnemers["&amp;J$1&amp;"]"),"&lt;Not in LuT&gt;",0,1)</f>
        <v/>
      </c>
      <c r="K47" s="3" t="str" cm="1">
        <f t="array" aca="1" ref="K47" ca="1">_xlfn.XLOOKUP(Table_LuT_Begroting_Deelnemers[[#This Row],[ID Deelnemer]],Table_LuT_Deelnemers[ID Deelnemer],INDIRECT("Table_LuT_Deelnemers["&amp;K$1&amp;"]"),"&lt;Not in LuT&gt;",0,1)</f>
        <v/>
      </c>
      <c r="L47" s="8" cm="1">
        <f t="array" aca="1" ref="L47" ca="1">INDIRECT("'"&amp;$A47&amp;"'!Kosten_"&amp;Table_LuT_Begroting_Deelnemers[[#This Row],[FO | IO | EO]])</f>
        <v>0</v>
      </c>
      <c r="M47" s="8" cm="1">
        <f t="array" aca="1" ref="M47" ca="1">_xlfn.LET(_xlpm.maxsub_aux,INDIRECT("'"&amp;$A47&amp;"'!Max_Subsidie_"&amp;Table_LuT_Begroting_Deelnemers[[#This Row],[FO | IO | EO]]),IF(Var_Sub.instr.="MKB",IF(Table_LuT_Begroting_Deelnemers[[#This Row],[Is MKB?]],MIN(_xlpm.maxsub_aux,Var_MaxSub_MKB_call_MKB),MIN(_xlpm.maxsub_aux,Var_MaxSub_MKB_call_OO)),_xlpm.maxsub_aux))</f>
        <v>0</v>
      </c>
      <c r="N47" s="8">
        <f ca="1">Table_LuT_Begroting_Deelnemers[[#This Row],[Kosten]]-Table_LuT_Begroting_Deelnemers[[#This Row],[Maximale Subsidie - HTSM]]</f>
        <v>0</v>
      </c>
      <c r="O47" s="387" cm="1">
        <f t="array" aca="1" ref="O47"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47" s="394">
        <f ca="1">Table_LuT_Begroting_Deelnemers[[#This Row],[Maximale Subsidie % - wettelijk]]*Table_LuT_Begroting_Deelnemers[[#This Row],[Kosten]]</f>
        <v>0</v>
      </c>
      <c r="Q47"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4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4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47" s="8">
        <f ca="1">Table_LuT_Begroting_Deelnemers[[#This Row],[Kosten OO]]-Table_LuT_Begroting_Deelnemers[[#This Row],[Maximale Subsidie OO - HTSM]]</f>
        <v>0</v>
      </c>
      <c r="U4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47"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4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4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47" s="8">
        <f ca="1">Table_LuT_Begroting_Deelnemers[[#This Row],[Kosten PP]]-Table_LuT_Begroting_Deelnemers[[#This Row],[Maximale Subsidie PP - HTSM]]</f>
        <v>0</v>
      </c>
      <c r="Z4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47"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4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4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47" s="8">
        <f ca="1">Table_LuT_Begroting_Deelnemers[[#This Row],[Kosten GB]]-Table_LuT_Begroting_Deelnemers[[#This Row],[Maximale Subsidie GB - HTSM]]</f>
        <v>0</v>
      </c>
      <c r="AE4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47"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4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4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47" s="8">
        <f ca="1">Table_LuT_Begroting_Deelnemers[[#This Row],[Kosten MKB]]-Table_LuT_Begroting_Deelnemers[[#This Row],[Maximale Subsidie MKB - HTSM]]</f>
        <v>0</v>
      </c>
      <c r="AJ4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4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47" s="8">
        <f ca="1">MIN(Table_LuT_Begroting_Deelnemers[[#This Row],[Gegenereerde Subsidie - OO+MKB]],Table_LuT_Begroting_Deelnemers[[#This Row],[Maximale Subsidie OO - overheid]])</f>
        <v>0</v>
      </c>
      <c r="AM47" s="8" cm="1">
        <f t="array" aca="1" ref="AM47"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47" s="8" cm="1">
        <f t="array" aca="1" ref="AN47" ca="1">IF(Table_LuT_Begroting_Deelnemers[[#This Row],[FO | IO | EO]]="FO",INDIRECT("Cash_"&amp;Table_LuT_Begroting_Deelnemers[[#This Row],[Verkorte Referentienaam Deelnemer]]),0)</f>
        <v>0</v>
      </c>
      <c r="AO47" s="8" cm="1">
        <f t="array" aca="1" ref="AO47" ca="1">IF(Table_LuT_Begroting_Deelnemers[[#This Row],[FO | IO | EO]]="FO",INDIRECT("Cash_Ontvangen_"&amp;Table_LuT_Begroting_Deelnemers[[#This Row],[Verkorte Referentienaam Deelnemer]]),0)</f>
        <v>0</v>
      </c>
      <c r="AP47" s="8">
        <f ca="1">IF(Table_LuT_Begroting_Deelnemers[[#This Row],[Is OO?]],Table_LuT_Begroting_Deelnemers[[#This Row],[Cash Ontvangen]],0)</f>
        <v>0</v>
      </c>
      <c r="AQ47" s="8" cm="1">
        <f t="array" aca="1" ref="AQ47" ca="1">IF(Table_LuT_Begroting_Deelnemers[[#This Row],[FO | IO | EO]]="FO",INDIRECT("In_kind_"&amp;Table_LuT_Begroting_Deelnemers[[#This Row],[Verkorte Referentienaam Deelnemer]]),0)</f>
        <v>0</v>
      </c>
      <c r="AR47" s="8" cm="1">
        <f t="array" aca="1" ref="AR47" ca="1">IF(Table_LuT_Begroting_Deelnemers[[#This Row],[FO | IO | EO]]="FO",INDIRECT("Overige_Subsidies_"&amp;Table_LuT_Begroting_Deelnemers[[#This Row],[Verkorte Referentienaam Deelnemer]]),0)</f>
        <v>0</v>
      </c>
      <c r="AS47" s="8" cm="1">
        <f t="array" aca="1" ref="AS47" ca="1">IF(Table_LuT_Begroting_Deelnemers[[#This Row],[FO | IO | EO]]="FO",INDIRECT("Subsidie_FO_"&amp;Table_LuT_Begroting_Deelnemers[[#This Row],[Verkorte Referentienaam Deelnemer]]),0)</f>
        <v>0</v>
      </c>
      <c r="AT47" s="8" cm="1">
        <f t="array" aca="1" ref="AT47" ca="1">IF(Table_LuT_Begroting_Deelnemers[[#This Row],[FO | IO | EO]]="IO",INDIRECT("Subsidie_IO_"&amp;Table_LuT_Begroting_Deelnemers[[#This Row],[Verkorte Referentienaam Deelnemer]]),0)</f>
        <v>0</v>
      </c>
      <c r="AU47" s="8" cm="1">
        <f t="array" aca="1" ref="AU47" ca="1">IF(Table_LuT_Begroting_Deelnemers[[#This Row],[FO | IO | EO]]="EO",INDIRECT("Subsidie_EO_"&amp;Table_LuT_Begroting_Deelnemers[[#This Row],[Verkorte Referentienaam Deelnemer]]),0)</f>
        <v>0</v>
      </c>
      <c r="AV47" s="8">
        <f ca="1">SUM(Table_LuT_Begroting_Deelnemers[[#This Row],[Gevraagde Subsidie FO]:[Gevraagde Subsidie EO]])</f>
        <v>0</v>
      </c>
      <c r="AW47" s="3"/>
      <c r="AX47" s="3"/>
      <c r="AY47" s="3"/>
      <c r="AZ47" s="3"/>
    </row>
    <row r="48" spans="1:52" ht="15" customHeight="1" x14ac:dyDescent="0.25">
      <c r="A48" s="2" t="s">
        <v>64</v>
      </c>
      <c r="B48" s="2" t="s">
        <v>83</v>
      </c>
      <c r="C48" s="3" t="str">
        <f>_xlfn.XLOOKUP(Table_LuT_Begroting_Deelnemers[[#This Row],[ID Deelnemer]],Table_LuT_Deelnemers[ID Deelnemer],Table_LuT_Deelnemers[Verkorte Referentienaam Deelnemer],"&lt;Not in LuT&gt;",0,1)</f>
        <v>DN7</v>
      </c>
      <c r="D48" s="3" t="str">
        <f>Table_LuT_Begroting_Deelnemers[[#This Row],[ID Deelnemer]]&amp;" # "&amp;Table_LuT_Begroting_Deelnemers[[#This Row],[FO | IO | EO]]</f>
        <v>Deelnemer 7 # EO</v>
      </c>
      <c r="E48" s="3" t="b" cm="1">
        <f t="array" aca="1" ref="E48" ca="1">_xlfn.XLOOKUP(Table_LuT_Begroting_Deelnemers[[#This Row],[ID Deelnemer]],Table_LuT_Deelnemers[ID Deelnemer],INDIRECT("Table_LuT_Deelnemers["&amp;E$1&amp;"]"),"&lt;Not in LuT&gt;",0,1)</f>
        <v>0</v>
      </c>
      <c r="F48" s="3" t="b" cm="1">
        <f t="array" aca="1" ref="F48" ca="1">_xlfn.XLOOKUP(Table_LuT_Begroting_Deelnemers[[#This Row],[ID Deelnemer]],Table_LuT_Deelnemers[ID Deelnemer],INDIRECT("Table_LuT_Deelnemers["&amp;F$1&amp;"]"),"&lt;Not in LuT&gt;",0,1)</f>
        <v>0</v>
      </c>
      <c r="G48" s="3" t="b" cm="1">
        <f t="array" aca="1" ref="G48" ca="1">_xlfn.XLOOKUP(Table_LuT_Begroting_Deelnemers[[#This Row],[ID Deelnemer]],Table_LuT_Deelnemers[ID Deelnemer],INDIRECT("Table_LuT_Deelnemers["&amp;G$1&amp;"]"),"&lt;Not in LuT&gt;",0,1)</f>
        <v>0</v>
      </c>
      <c r="H48" s="3" t="b" cm="1">
        <f t="array" ref="H48">Var_MKB_Consortium</f>
        <v>1</v>
      </c>
      <c r="I48" s="3" t="b">
        <f ca="1">Table_LuT_Begroting_Deelnemers[[#This Row],[Is OO?]]</f>
        <v>0</v>
      </c>
      <c r="J48" s="3" t="str" cm="1">
        <f t="array" aca="1" ref="J48" ca="1">_xlfn.XLOOKUP(Table_LuT_Begroting_Deelnemers[[#This Row],[ID Deelnemer]],Table_LuT_Deelnemers[ID Deelnemer],INDIRECT("Table_LuT_Deelnemers["&amp;J$1&amp;"]"),"&lt;Not in LuT&gt;",0,1)</f>
        <v/>
      </c>
      <c r="K48" s="3" t="str" cm="1">
        <f t="array" aca="1" ref="K48" ca="1">_xlfn.XLOOKUP(Table_LuT_Begroting_Deelnemers[[#This Row],[ID Deelnemer]],Table_LuT_Deelnemers[ID Deelnemer],INDIRECT("Table_LuT_Deelnemers["&amp;K$1&amp;"]"),"&lt;Not in LuT&gt;",0,1)</f>
        <v/>
      </c>
      <c r="L48" s="8" cm="1">
        <f t="array" aca="1" ref="L48" ca="1">INDIRECT("'"&amp;$A48&amp;"'!Kosten_"&amp;Table_LuT_Begroting_Deelnemers[[#This Row],[FO | IO | EO]])</f>
        <v>0</v>
      </c>
      <c r="M48" s="8" cm="1">
        <f t="array" aca="1" ref="M48" ca="1">_xlfn.LET(_xlpm.maxsub_aux,INDIRECT("'"&amp;$A48&amp;"'!Max_Subsidie_"&amp;Table_LuT_Begroting_Deelnemers[[#This Row],[FO | IO | EO]]),IF(Var_Sub.instr.="MKB",IF(Table_LuT_Begroting_Deelnemers[[#This Row],[Is MKB?]],MIN(_xlpm.maxsub_aux,Var_MaxSub_MKB_call_MKB),MIN(_xlpm.maxsub_aux,Var_MaxSub_MKB_call_OO)),_xlpm.maxsub_aux))</f>
        <v>0</v>
      </c>
      <c r="N48" s="8">
        <f ca="1">Table_LuT_Begroting_Deelnemers[[#This Row],[Kosten]]-Table_LuT_Begroting_Deelnemers[[#This Row],[Maximale Subsidie - HTSM]]</f>
        <v>0</v>
      </c>
      <c r="O48" s="387" cm="1">
        <f t="array" aca="1" ref="O48"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48" s="394">
        <f ca="1">Table_LuT_Begroting_Deelnemers[[#This Row],[Maximale Subsidie % - wettelijk]]*Table_LuT_Begroting_Deelnemers[[#This Row],[Kosten]]</f>
        <v>0</v>
      </c>
      <c r="Q48"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4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4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48" s="8">
        <f ca="1">Table_LuT_Begroting_Deelnemers[[#This Row],[Kosten OO]]-Table_LuT_Begroting_Deelnemers[[#This Row],[Maximale Subsidie OO - HTSM]]</f>
        <v>0</v>
      </c>
      <c r="U4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48"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4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4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48" s="8">
        <f ca="1">Table_LuT_Begroting_Deelnemers[[#This Row],[Kosten PP]]-Table_LuT_Begroting_Deelnemers[[#This Row],[Maximale Subsidie PP - HTSM]]</f>
        <v>0</v>
      </c>
      <c r="Z4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48"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4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4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48" s="8">
        <f ca="1">Table_LuT_Begroting_Deelnemers[[#This Row],[Kosten GB]]-Table_LuT_Begroting_Deelnemers[[#This Row],[Maximale Subsidie GB - HTSM]]</f>
        <v>0</v>
      </c>
      <c r="AE4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48"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4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4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48" s="8">
        <f ca="1">Table_LuT_Begroting_Deelnemers[[#This Row],[Kosten MKB]]-Table_LuT_Begroting_Deelnemers[[#This Row],[Maximale Subsidie MKB - HTSM]]</f>
        <v>0</v>
      </c>
      <c r="AJ4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4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48" s="8">
        <f ca="1">MIN(Table_LuT_Begroting_Deelnemers[[#This Row],[Gegenereerde Subsidie - OO+MKB]],Table_LuT_Begroting_Deelnemers[[#This Row],[Maximale Subsidie OO - overheid]])</f>
        <v>0</v>
      </c>
      <c r="AM48" s="8" cm="1">
        <f t="array" aca="1" ref="AM48"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48" s="8" cm="1">
        <f t="array" aca="1" ref="AN48" ca="1">IF(Table_LuT_Begroting_Deelnemers[[#This Row],[FO | IO | EO]]="FO",INDIRECT("Cash_"&amp;Table_LuT_Begroting_Deelnemers[[#This Row],[Verkorte Referentienaam Deelnemer]]),0)</f>
        <v>0</v>
      </c>
      <c r="AO48" s="8" cm="1">
        <f t="array" aca="1" ref="AO48" ca="1">IF(Table_LuT_Begroting_Deelnemers[[#This Row],[FO | IO | EO]]="FO",INDIRECT("Cash_Ontvangen_"&amp;Table_LuT_Begroting_Deelnemers[[#This Row],[Verkorte Referentienaam Deelnemer]]),0)</f>
        <v>0</v>
      </c>
      <c r="AP48" s="8">
        <f ca="1">IF(Table_LuT_Begroting_Deelnemers[[#This Row],[Is OO?]],Table_LuT_Begroting_Deelnemers[[#This Row],[Cash Ontvangen]],0)</f>
        <v>0</v>
      </c>
      <c r="AQ48" s="8" cm="1">
        <f t="array" aca="1" ref="AQ48" ca="1">IF(Table_LuT_Begroting_Deelnemers[[#This Row],[FO | IO | EO]]="FO",INDIRECT("In_kind_"&amp;Table_LuT_Begroting_Deelnemers[[#This Row],[Verkorte Referentienaam Deelnemer]]),0)</f>
        <v>0</v>
      </c>
      <c r="AR48" s="8" cm="1">
        <f t="array" aca="1" ref="AR48" ca="1">IF(Table_LuT_Begroting_Deelnemers[[#This Row],[FO | IO | EO]]="FO",INDIRECT("Overige_Subsidies_"&amp;Table_LuT_Begroting_Deelnemers[[#This Row],[Verkorte Referentienaam Deelnemer]]),0)</f>
        <v>0</v>
      </c>
      <c r="AS48" s="8" cm="1">
        <f t="array" aca="1" ref="AS48" ca="1">IF(Table_LuT_Begroting_Deelnemers[[#This Row],[FO | IO | EO]]="FO",INDIRECT("Subsidie_FO_"&amp;Table_LuT_Begroting_Deelnemers[[#This Row],[Verkorte Referentienaam Deelnemer]]),0)</f>
        <v>0</v>
      </c>
      <c r="AT48" s="8" cm="1">
        <f t="array" aca="1" ref="AT48" ca="1">IF(Table_LuT_Begroting_Deelnemers[[#This Row],[FO | IO | EO]]="IO",INDIRECT("Subsidie_IO_"&amp;Table_LuT_Begroting_Deelnemers[[#This Row],[Verkorte Referentienaam Deelnemer]]),0)</f>
        <v>0</v>
      </c>
      <c r="AU48" s="8" cm="1">
        <f t="array" aca="1" ref="AU48" ca="1">IF(Table_LuT_Begroting_Deelnemers[[#This Row],[FO | IO | EO]]="EO",INDIRECT("Subsidie_EO_"&amp;Table_LuT_Begroting_Deelnemers[[#This Row],[Verkorte Referentienaam Deelnemer]]),0)</f>
        <v>0</v>
      </c>
      <c r="AV48" s="8">
        <f ca="1">SUM(Table_LuT_Begroting_Deelnemers[[#This Row],[Gevraagde Subsidie FO]:[Gevraagde Subsidie EO]])</f>
        <v>0</v>
      </c>
      <c r="AW48" s="3"/>
      <c r="AX48" s="3"/>
      <c r="AY48" s="3"/>
      <c r="AZ48" s="3"/>
    </row>
    <row r="49" spans="1:52" ht="15" customHeight="1" x14ac:dyDescent="0.25">
      <c r="A49" s="2" t="s">
        <v>65</v>
      </c>
      <c r="B49" s="2" t="s">
        <v>83</v>
      </c>
      <c r="C49" s="3" t="str">
        <f>_xlfn.XLOOKUP(Table_LuT_Begroting_Deelnemers[[#This Row],[ID Deelnemer]],Table_LuT_Deelnemers[ID Deelnemer],Table_LuT_Deelnemers[Verkorte Referentienaam Deelnemer],"&lt;Not in LuT&gt;",0,1)</f>
        <v>DN8</v>
      </c>
      <c r="D49" s="3" t="str">
        <f>Table_LuT_Begroting_Deelnemers[[#This Row],[ID Deelnemer]]&amp;" # "&amp;Table_LuT_Begroting_Deelnemers[[#This Row],[FO | IO | EO]]</f>
        <v>Deelnemer 8 # EO</v>
      </c>
      <c r="E49" s="3" t="b" cm="1">
        <f t="array" aca="1" ref="E49" ca="1">_xlfn.XLOOKUP(Table_LuT_Begroting_Deelnemers[[#This Row],[ID Deelnemer]],Table_LuT_Deelnemers[ID Deelnemer],INDIRECT("Table_LuT_Deelnemers["&amp;E$1&amp;"]"),"&lt;Not in LuT&gt;",0,1)</f>
        <v>0</v>
      </c>
      <c r="F49" s="3" t="b" cm="1">
        <f t="array" aca="1" ref="F49" ca="1">_xlfn.XLOOKUP(Table_LuT_Begroting_Deelnemers[[#This Row],[ID Deelnemer]],Table_LuT_Deelnemers[ID Deelnemer],INDIRECT("Table_LuT_Deelnemers["&amp;F$1&amp;"]"),"&lt;Not in LuT&gt;",0,1)</f>
        <v>0</v>
      </c>
      <c r="G49" s="3" t="b" cm="1">
        <f t="array" aca="1" ref="G49" ca="1">_xlfn.XLOOKUP(Table_LuT_Begroting_Deelnemers[[#This Row],[ID Deelnemer]],Table_LuT_Deelnemers[ID Deelnemer],INDIRECT("Table_LuT_Deelnemers["&amp;G$1&amp;"]"),"&lt;Not in LuT&gt;",0,1)</f>
        <v>0</v>
      </c>
      <c r="H49" s="3" t="b" cm="1">
        <f t="array" ref="H49">Var_MKB_Consortium</f>
        <v>1</v>
      </c>
      <c r="I49" s="3" t="b">
        <f ca="1">Table_LuT_Begroting_Deelnemers[[#This Row],[Is OO?]]</f>
        <v>0</v>
      </c>
      <c r="J49" s="3" t="str" cm="1">
        <f t="array" aca="1" ref="J49" ca="1">_xlfn.XLOOKUP(Table_LuT_Begroting_Deelnemers[[#This Row],[ID Deelnemer]],Table_LuT_Deelnemers[ID Deelnemer],INDIRECT("Table_LuT_Deelnemers["&amp;J$1&amp;"]"),"&lt;Not in LuT&gt;",0,1)</f>
        <v/>
      </c>
      <c r="K49" s="3" t="str" cm="1">
        <f t="array" aca="1" ref="K49" ca="1">_xlfn.XLOOKUP(Table_LuT_Begroting_Deelnemers[[#This Row],[ID Deelnemer]],Table_LuT_Deelnemers[ID Deelnemer],INDIRECT("Table_LuT_Deelnemers["&amp;K$1&amp;"]"),"&lt;Not in LuT&gt;",0,1)</f>
        <v/>
      </c>
      <c r="L49" s="8" cm="1">
        <f t="array" aca="1" ref="L49" ca="1">INDIRECT("'"&amp;$A49&amp;"'!Kosten_"&amp;Table_LuT_Begroting_Deelnemers[[#This Row],[FO | IO | EO]])</f>
        <v>0</v>
      </c>
      <c r="M49" s="8" cm="1">
        <f t="array" aca="1" ref="M49" ca="1">_xlfn.LET(_xlpm.maxsub_aux,INDIRECT("'"&amp;$A49&amp;"'!Max_Subsidie_"&amp;Table_LuT_Begroting_Deelnemers[[#This Row],[FO | IO | EO]]),IF(Var_Sub.instr.="MKB",IF(Table_LuT_Begroting_Deelnemers[[#This Row],[Is MKB?]],MIN(_xlpm.maxsub_aux,Var_MaxSub_MKB_call_MKB),MIN(_xlpm.maxsub_aux,Var_MaxSub_MKB_call_OO)),_xlpm.maxsub_aux))</f>
        <v>0</v>
      </c>
      <c r="N49" s="8">
        <f ca="1">Table_LuT_Begroting_Deelnemers[[#This Row],[Kosten]]-Table_LuT_Begroting_Deelnemers[[#This Row],[Maximale Subsidie - HTSM]]</f>
        <v>0</v>
      </c>
      <c r="O49" s="387" cm="1">
        <f t="array" aca="1" ref="O49"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49" s="394">
        <f ca="1">Table_LuT_Begroting_Deelnemers[[#This Row],[Maximale Subsidie % - wettelijk]]*Table_LuT_Begroting_Deelnemers[[#This Row],[Kosten]]</f>
        <v>0</v>
      </c>
      <c r="Q49"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4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4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49" s="8">
        <f ca="1">Table_LuT_Begroting_Deelnemers[[#This Row],[Kosten OO]]-Table_LuT_Begroting_Deelnemers[[#This Row],[Maximale Subsidie OO - HTSM]]</f>
        <v>0</v>
      </c>
      <c r="U4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49"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4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4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49" s="8">
        <f ca="1">Table_LuT_Begroting_Deelnemers[[#This Row],[Kosten PP]]-Table_LuT_Begroting_Deelnemers[[#This Row],[Maximale Subsidie PP - HTSM]]</f>
        <v>0</v>
      </c>
      <c r="Z4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49"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4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4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49" s="8">
        <f ca="1">Table_LuT_Begroting_Deelnemers[[#This Row],[Kosten GB]]-Table_LuT_Begroting_Deelnemers[[#This Row],[Maximale Subsidie GB - HTSM]]</f>
        <v>0</v>
      </c>
      <c r="AE4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49"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4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4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49" s="8">
        <f ca="1">Table_LuT_Begroting_Deelnemers[[#This Row],[Kosten MKB]]-Table_LuT_Begroting_Deelnemers[[#This Row],[Maximale Subsidie MKB - HTSM]]</f>
        <v>0</v>
      </c>
      <c r="AJ4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4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49" s="8">
        <f ca="1">MIN(Table_LuT_Begroting_Deelnemers[[#This Row],[Gegenereerde Subsidie - OO+MKB]],Table_LuT_Begroting_Deelnemers[[#This Row],[Maximale Subsidie OO - overheid]])</f>
        <v>0</v>
      </c>
      <c r="AM49" s="8" cm="1">
        <f t="array" aca="1" ref="AM49"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49" s="8" cm="1">
        <f t="array" aca="1" ref="AN49" ca="1">IF(Table_LuT_Begroting_Deelnemers[[#This Row],[FO | IO | EO]]="FO",INDIRECT("Cash_"&amp;Table_LuT_Begroting_Deelnemers[[#This Row],[Verkorte Referentienaam Deelnemer]]),0)</f>
        <v>0</v>
      </c>
      <c r="AO49" s="8" cm="1">
        <f t="array" aca="1" ref="AO49" ca="1">IF(Table_LuT_Begroting_Deelnemers[[#This Row],[FO | IO | EO]]="FO",INDIRECT("Cash_Ontvangen_"&amp;Table_LuT_Begroting_Deelnemers[[#This Row],[Verkorte Referentienaam Deelnemer]]),0)</f>
        <v>0</v>
      </c>
      <c r="AP49" s="8">
        <f ca="1">IF(Table_LuT_Begroting_Deelnemers[[#This Row],[Is OO?]],Table_LuT_Begroting_Deelnemers[[#This Row],[Cash Ontvangen]],0)</f>
        <v>0</v>
      </c>
      <c r="AQ49" s="8" cm="1">
        <f t="array" aca="1" ref="AQ49" ca="1">IF(Table_LuT_Begroting_Deelnemers[[#This Row],[FO | IO | EO]]="FO",INDIRECT("In_kind_"&amp;Table_LuT_Begroting_Deelnemers[[#This Row],[Verkorte Referentienaam Deelnemer]]),0)</f>
        <v>0</v>
      </c>
      <c r="AR49" s="8" cm="1">
        <f t="array" aca="1" ref="AR49" ca="1">IF(Table_LuT_Begroting_Deelnemers[[#This Row],[FO | IO | EO]]="FO",INDIRECT("Overige_Subsidies_"&amp;Table_LuT_Begroting_Deelnemers[[#This Row],[Verkorte Referentienaam Deelnemer]]),0)</f>
        <v>0</v>
      </c>
      <c r="AS49" s="8" cm="1">
        <f t="array" aca="1" ref="AS49" ca="1">IF(Table_LuT_Begroting_Deelnemers[[#This Row],[FO | IO | EO]]="FO",INDIRECT("Subsidie_FO_"&amp;Table_LuT_Begroting_Deelnemers[[#This Row],[Verkorte Referentienaam Deelnemer]]),0)</f>
        <v>0</v>
      </c>
      <c r="AT49" s="8" cm="1">
        <f t="array" aca="1" ref="AT49" ca="1">IF(Table_LuT_Begroting_Deelnemers[[#This Row],[FO | IO | EO]]="IO",INDIRECT("Subsidie_IO_"&amp;Table_LuT_Begroting_Deelnemers[[#This Row],[Verkorte Referentienaam Deelnemer]]),0)</f>
        <v>0</v>
      </c>
      <c r="AU49" s="8" cm="1">
        <f t="array" aca="1" ref="AU49" ca="1">IF(Table_LuT_Begroting_Deelnemers[[#This Row],[FO | IO | EO]]="EO",INDIRECT("Subsidie_EO_"&amp;Table_LuT_Begroting_Deelnemers[[#This Row],[Verkorte Referentienaam Deelnemer]]),0)</f>
        <v>0</v>
      </c>
      <c r="AV49" s="8">
        <f ca="1">SUM(Table_LuT_Begroting_Deelnemers[[#This Row],[Gevraagde Subsidie FO]:[Gevraagde Subsidie EO]])</f>
        <v>0</v>
      </c>
      <c r="AW49" s="3"/>
      <c r="AX49" s="3"/>
      <c r="AY49" s="3"/>
      <c r="AZ49" s="3"/>
    </row>
    <row r="50" spans="1:52" ht="15" customHeight="1" x14ac:dyDescent="0.25">
      <c r="A50" s="2" t="s">
        <v>66</v>
      </c>
      <c r="B50" s="2" t="s">
        <v>83</v>
      </c>
      <c r="C50" s="3" t="str">
        <f>_xlfn.XLOOKUP(Table_LuT_Begroting_Deelnemers[[#This Row],[ID Deelnemer]],Table_LuT_Deelnemers[ID Deelnemer],Table_LuT_Deelnemers[Verkorte Referentienaam Deelnemer],"&lt;Not in LuT&gt;",0,1)</f>
        <v>DN9</v>
      </c>
      <c r="D50" s="3" t="str">
        <f>Table_LuT_Begroting_Deelnemers[[#This Row],[ID Deelnemer]]&amp;" # "&amp;Table_LuT_Begroting_Deelnemers[[#This Row],[FO | IO | EO]]</f>
        <v>Deelnemer 9 # EO</v>
      </c>
      <c r="E50" s="3" t="b" cm="1">
        <f t="array" aca="1" ref="E50" ca="1">_xlfn.XLOOKUP(Table_LuT_Begroting_Deelnemers[[#This Row],[ID Deelnemer]],Table_LuT_Deelnemers[ID Deelnemer],INDIRECT("Table_LuT_Deelnemers["&amp;E$1&amp;"]"),"&lt;Not in LuT&gt;",0,1)</f>
        <v>0</v>
      </c>
      <c r="F50" s="3" t="b" cm="1">
        <f t="array" aca="1" ref="F50" ca="1">_xlfn.XLOOKUP(Table_LuT_Begroting_Deelnemers[[#This Row],[ID Deelnemer]],Table_LuT_Deelnemers[ID Deelnemer],INDIRECT("Table_LuT_Deelnemers["&amp;F$1&amp;"]"),"&lt;Not in LuT&gt;",0,1)</f>
        <v>0</v>
      </c>
      <c r="G50" s="3" t="b" cm="1">
        <f t="array" aca="1" ref="G50" ca="1">_xlfn.XLOOKUP(Table_LuT_Begroting_Deelnemers[[#This Row],[ID Deelnemer]],Table_LuT_Deelnemers[ID Deelnemer],INDIRECT("Table_LuT_Deelnemers["&amp;G$1&amp;"]"),"&lt;Not in LuT&gt;",0,1)</f>
        <v>0</v>
      </c>
      <c r="H50" s="3" t="b" cm="1">
        <f t="array" ref="H50">Var_MKB_Consortium</f>
        <v>1</v>
      </c>
      <c r="I50" s="3" t="b">
        <f ca="1">Table_LuT_Begroting_Deelnemers[[#This Row],[Is OO?]]</f>
        <v>0</v>
      </c>
      <c r="J50" s="3" t="str" cm="1">
        <f t="array" aca="1" ref="J50" ca="1">_xlfn.XLOOKUP(Table_LuT_Begroting_Deelnemers[[#This Row],[ID Deelnemer]],Table_LuT_Deelnemers[ID Deelnemer],INDIRECT("Table_LuT_Deelnemers["&amp;J$1&amp;"]"),"&lt;Not in LuT&gt;",0,1)</f>
        <v/>
      </c>
      <c r="K50" s="3" t="str" cm="1">
        <f t="array" aca="1" ref="K50" ca="1">_xlfn.XLOOKUP(Table_LuT_Begroting_Deelnemers[[#This Row],[ID Deelnemer]],Table_LuT_Deelnemers[ID Deelnemer],INDIRECT("Table_LuT_Deelnemers["&amp;K$1&amp;"]"),"&lt;Not in LuT&gt;",0,1)</f>
        <v/>
      </c>
      <c r="L50" s="8" cm="1">
        <f t="array" aca="1" ref="L50" ca="1">INDIRECT("'"&amp;$A50&amp;"'!Kosten_"&amp;Table_LuT_Begroting_Deelnemers[[#This Row],[FO | IO | EO]])</f>
        <v>0</v>
      </c>
      <c r="M50" s="8" cm="1">
        <f t="array" aca="1" ref="M50" ca="1">_xlfn.LET(_xlpm.maxsub_aux,INDIRECT("'"&amp;$A50&amp;"'!Max_Subsidie_"&amp;Table_LuT_Begroting_Deelnemers[[#This Row],[FO | IO | EO]]),IF(Var_Sub.instr.="MKB",IF(Table_LuT_Begroting_Deelnemers[[#This Row],[Is MKB?]],MIN(_xlpm.maxsub_aux,Var_MaxSub_MKB_call_MKB),MIN(_xlpm.maxsub_aux,Var_MaxSub_MKB_call_OO)),_xlpm.maxsub_aux))</f>
        <v>0</v>
      </c>
      <c r="N50" s="8">
        <f ca="1">Table_LuT_Begroting_Deelnemers[[#This Row],[Kosten]]-Table_LuT_Begroting_Deelnemers[[#This Row],[Maximale Subsidie - HTSM]]</f>
        <v>0</v>
      </c>
      <c r="O50" s="387" cm="1">
        <f t="array" aca="1" ref="O50"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50" s="394">
        <f ca="1">Table_LuT_Begroting_Deelnemers[[#This Row],[Maximale Subsidie % - wettelijk]]*Table_LuT_Begroting_Deelnemers[[#This Row],[Kosten]]</f>
        <v>0</v>
      </c>
      <c r="Q50"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5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5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50" s="8">
        <f ca="1">Table_LuT_Begroting_Deelnemers[[#This Row],[Kosten OO]]-Table_LuT_Begroting_Deelnemers[[#This Row],[Maximale Subsidie OO - HTSM]]</f>
        <v>0</v>
      </c>
      <c r="U5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50"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5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5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50" s="8">
        <f ca="1">Table_LuT_Begroting_Deelnemers[[#This Row],[Kosten PP]]-Table_LuT_Begroting_Deelnemers[[#This Row],[Maximale Subsidie PP - HTSM]]</f>
        <v>0</v>
      </c>
      <c r="Z5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50"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5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5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50" s="8">
        <f ca="1">Table_LuT_Begroting_Deelnemers[[#This Row],[Kosten GB]]-Table_LuT_Begroting_Deelnemers[[#This Row],[Maximale Subsidie GB - HTSM]]</f>
        <v>0</v>
      </c>
      <c r="AE5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50"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5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5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50" s="8">
        <f ca="1">Table_LuT_Begroting_Deelnemers[[#This Row],[Kosten MKB]]-Table_LuT_Begroting_Deelnemers[[#This Row],[Maximale Subsidie MKB - HTSM]]</f>
        <v>0</v>
      </c>
      <c r="AJ5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5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50" s="8">
        <f ca="1">MIN(Table_LuT_Begroting_Deelnemers[[#This Row],[Gegenereerde Subsidie - OO+MKB]],Table_LuT_Begroting_Deelnemers[[#This Row],[Maximale Subsidie OO - overheid]])</f>
        <v>0</v>
      </c>
      <c r="AM50" s="8" cm="1">
        <f t="array" aca="1" ref="AM50"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50" s="8" cm="1">
        <f t="array" aca="1" ref="AN50" ca="1">IF(Table_LuT_Begroting_Deelnemers[[#This Row],[FO | IO | EO]]="FO",INDIRECT("Cash_"&amp;Table_LuT_Begroting_Deelnemers[[#This Row],[Verkorte Referentienaam Deelnemer]]),0)</f>
        <v>0</v>
      </c>
      <c r="AO50" s="8" cm="1">
        <f t="array" aca="1" ref="AO50" ca="1">IF(Table_LuT_Begroting_Deelnemers[[#This Row],[FO | IO | EO]]="FO",INDIRECT("Cash_Ontvangen_"&amp;Table_LuT_Begroting_Deelnemers[[#This Row],[Verkorte Referentienaam Deelnemer]]),0)</f>
        <v>0</v>
      </c>
      <c r="AP50" s="8">
        <f ca="1">IF(Table_LuT_Begroting_Deelnemers[[#This Row],[Is OO?]],Table_LuT_Begroting_Deelnemers[[#This Row],[Cash Ontvangen]],0)</f>
        <v>0</v>
      </c>
      <c r="AQ50" s="8" cm="1">
        <f t="array" aca="1" ref="AQ50" ca="1">IF(Table_LuT_Begroting_Deelnemers[[#This Row],[FO | IO | EO]]="FO",INDIRECT("In_kind_"&amp;Table_LuT_Begroting_Deelnemers[[#This Row],[Verkorte Referentienaam Deelnemer]]),0)</f>
        <v>0</v>
      </c>
      <c r="AR50" s="8" cm="1">
        <f t="array" aca="1" ref="AR50" ca="1">IF(Table_LuT_Begroting_Deelnemers[[#This Row],[FO | IO | EO]]="FO",INDIRECT("Overige_Subsidies_"&amp;Table_LuT_Begroting_Deelnemers[[#This Row],[Verkorte Referentienaam Deelnemer]]),0)</f>
        <v>0</v>
      </c>
      <c r="AS50" s="8" cm="1">
        <f t="array" aca="1" ref="AS50" ca="1">IF(Table_LuT_Begroting_Deelnemers[[#This Row],[FO | IO | EO]]="FO",INDIRECT("Subsidie_FO_"&amp;Table_LuT_Begroting_Deelnemers[[#This Row],[Verkorte Referentienaam Deelnemer]]),0)</f>
        <v>0</v>
      </c>
      <c r="AT50" s="8" cm="1">
        <f t="array" aca="1" ref="AT50" ca="1">IF(Table_LuT_Begroting_Deelnemers[[#This Row],[FO | IO | EO]]="IO",INDIRECT("Subsidie_IO_"&amp;Table_LuT_Begroting_Deelnemers[[#This Row],[Verkorte Referentienaam Deelnemer]]),0)</f>
        <v>0</v>
      </c>
      <c r="AU50" s="8" cm="1">
        <f t="array" aca="1" ref="AU50" ca="1">IF(Table_LuT_Begroting_Deelnemers[[#This Row],[FO | IO | EO]]="EO",INDIRECT("Subsidie_EO_"&amp;Table_LuT_Begroting_Deelnemers[[#This Row],[Verkorte Referentienaam Deelnemer]]),0)</f>
        <v>0</v>
      </c>
      <c r="AV50" s="8">
        <f ca="1">SUM(Table_LuT_Begroting_Deelnemers[[#This Row],[Gevraagde Subsidie FO]:[Gevraagde Subsidie EO]])</f>
        <v>0</v>
      </c>
      <c r="AW50" s="3"/>
      <c r="AX50" s="3"/>
      <c r="AY50" s="3"/>
      <c r="AZ50" s="3"/>
    </row>
    <row r="51" spans="1:52" ht="15" customHeight="1" x14ac:dyDescent="0.25">
      <c r="A51" s="2" t="s">
        <v>67</v>
      </c>
      <c r="B51" s="2" t="s">
        <v>83</v>
      </c>
      <c r="C51" s="3" t="str">
        <f>_xlfn.XLOOKUP(Table_LuT_Begroting_Deelnemers[[#This Row],[ID Deelnemer]],Table_LuT_Deelnemers[ID Deelnemer],Table_LuT_Deelnemers[Verkorte Referentienaam Deelnemer],"&lt;Not in LuT&gt;",0,1)</f>
        <v>DN10</v>
      </c>
      <c r="D51" s="3" t="str">
        <f>Table_LuT_Begroting_Deelnemers[[#This Row],[ID Deelnemer]]&amp;" # "&amp;Table_LuT_Begroting_Deelnemers[[#This Row],[FO | IO | EO]]</f>
        <v>Deelnemer 10 # EO</v>
      </c>
      <c r="E51" s="3" t="b" cm="1">
        <f t="array" aca="1" ref="E51" ca="1">_xlfn.XLOOKUP(Table_LuT_Begroting_Deelnemers[[#This Row],[ID Deelnemer]],Table_LuT_Deelnemers[ID Deelnemer],INDIRECT("Table_LuT_Deelnemers["&amp;E$1&amp;"]"),"&lt;Not in LuT&gt;",0,1)</f>
        <v>0</v>
      </c>
      <c r="F51" s="3" t="b" cm="1">
        <f t="array" aca="1" ref="F51" ca="1">_xlfn.XLOOKUP(Table_LuT_Begroting_Deelnemers[[#This Row],[ID Deelnemer]],Table_LuT_Deelnemers[ID Deelnemer],INDIRECT("Table_LuT_Deelnemers["&amp;F$1&amp;"]"),"&lt;Not in LuT&gt;",0,1)</f>
        <v>0</v>
      </c>
      <c r="G51" s="3" t="b" cm="1">
        <f t="array" aca="1" ref="G51" ca="1">_xlfn.XLOOKUP(Table_LuT_Begroting_Deelnemers[[#This Row],[ID Deelnemer]],Table_LuT_Deelnemers[ID Deelnemer],INDIRECT("Table_LuT_Deelnemers["&amp;G$1&amp;"]"),"&lt;Not in LuT&gt;",0,1)</f>
        <v>0</v>
      </c>
      <c r="H51" s="3" t="b" cm="1">
        <f t="array" ref="H51">Var_MKB_Consortium</f>
        <v>1</v>
      </c>
      <c r="I51" s="3" t="b">
        <f ca="1">Table_LuT_Begroting_Deelnemers[[#This Row],[Is OO?]]</f>
        <v>0</v>
      </c>
      <c r="J51" s="3" t="str" cm="1">
        <f t="array" aca="1" ref="J51" ca="1">_xlfn.XLOOKUP(Table_LuT_Begroting_Deelnemers[[#This Row],[ID Deelnemer]],Table_LuT_Deelnemers[ID Deelnemer],INDIRECT("Table_LuT_Deelnemers["&amp;J$1&amp;"]"),"&lt;Not in LuT&gt;",0,1)</f>
        <v/>
      </c>
      <c r="K51" s="3" t="str" cm="1">
        <f t="array" aca="1" ref="K51" ca="1">_xlfn.XLOOKUP(Table_LuT_Begroting_Deelnemers[[#This Row],[ID Deelnemer]],Table_LuT_Deelnemers[ID Deelnemer],INDIRECT("Table_LuT_Deelnemers["&amp;K$1&amp;"]"),"&lt;Not in LuT&gt;",0,1)</f>
        <v/>
      </c>
      <c r="L51" s="8" cm="1">
        <f t="array" aca="1" ref="L51" ca="1">INDIRECT("'"&amp;$A51&amp;"'!Kosten_"&amp;Table_LuT_Begroting_Deelnemers[[#This Row],[FO | IO | EO]])</f>
        <v>0</v>
      </c>
      <c r="M51" s="8" cm="1">
        <f t="array" aca="1" ref="M51" ca="1">_xlfn.LET(_xlpm.maxsub_aux,INDIRECT("'"&amp;$A51&amp;"'!Max_Subsidie_"&amp;Table_LuT_Begroting_Deelnemers[[#This Row],[FO | IO | EO]]),IF(Var_Sub.instr.="MKB",IF(Table_LuT_Begroting_Deelnemers[[#This Row],[Is MKB?]],MIN(_xlpm.maxsub_aux,Var_MaxSub_MKB_call_MKB),MIN(_xlpm.maxsub_aux,Var_MaxSub_MKB_call_OO)),_xlpm.maxsub_aux))</f>
        <v>0</v>
      </c>
      <c r="N51" s="8">
        <f ca="1">Table_LuT_Begroting_Deelnemers[[#This Row],[Kosten]]-Table_LuT_Begroting_Deelnemers[[#This Row],[Maximale Subsidie - HTSM]]</f>
        <v>0</v>
      </c>
      <c r="O51" s="387" cm="1">
        <f t="array" aca="1" ref="O51"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51" s="394">
        <f ca="1">Table_LuT_Begroting_Deelnemers[[#This Row],[Maximale Subsidie % - wettelijk]]*Table_LuT_Begroting_Deelnemers[[#This Row],[Kosten]]</f>
        <v>0</v>
      </c>
      <c r="Q51"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5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5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51" s="8">
        <f ca="1">Table_LuT_Begroting_Deelnemers[[#This Row],[Kosten OO]]-Table_LuT_Begroting_Deelnemers[[#This Row],[Maximale Subsidie OO - HTSM]]</f>
        <v>0</v>
      </c>
      <c r="U5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51"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5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5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51" s="8">
        <f ca="1">Table_LuT_Begroting_Deelnemers[[#This Row],[Kosten PP]]-Table_LuT_Begroting_Deelnemers[[#This Row],[Maximale Subsidie PP - HTSM]]</f>
        <v>0</v>
      </c>
      <c r="Z5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51"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5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5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51" s="8">
        <f ca="1">Table_LuT_Begroting_Deelnemers[[#This Row],[Kosten GB]]-Table_LuT_Begroting_Deelnemers[[#This Row],[Maximale Subsidie GB - HTSM]]</f>
        <v>0</v>
      </c>
      <c r="AE5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51"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5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5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51" s="8">
        <f ca="1">Table_LuT_Begroting_Deelnemers[[#This Row],[Kosten MKB]]-Table_LuT_Begroting_Deelnemers[[#This Row],[Maximale Subsidie MKB - HTSM]]</f>
        <v>0</v>
      </c>
      <c r="AJ5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5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51" s="8">
        <f ca="1">MIN(Table_LuT_Begroting_Deelnemers[[#This Row],[Gegenereerde Subsidie - OO+MKB]],Table_LuT_Begroting_Deelnemers[[#This Row],[Maximale Subsidie OO - overheid]])</f>
        <v>0</v>
      </c>
      <c r="AM51" s="8" cm="1">
        <f t="array" aca="1" ref="AM51"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51" s="8" cm="1">
        <f t="array" aca="1" ref="AN51" ca="1">IF(Table_LuT_Begroting_Deelnemers[[#This Row],[FO | IO | EO]]="FO",INDIRECT("Cash_"&amp;Table_LuT_Begroting_Deelnemers[[#This Row],[Verkorte Referentienaam Deelnemer]]),0)</f>
        <v>0</v>
      </c>
      <c r="AO51" s="8" cm="1">
        <f t="array" aca="1" ref="AO51" ca="1">IF(Table_LuT_Begroting_Deelnemers[[#This Row],[FO | IO | EO]]="FO",INDIRECT("Cash_Ontvangen_"&amp;Table_LuT_Begroting_Deelnemers[[#This Row],[Verkorte Referentienaam Deelnemer]]),0)</f>
        <v>0</v>
      </c>
      <c r="AP51" s="8">
        <f ca="1">IF(Table_LuT_Begroting_Deelnemers[[#This Row],[Is OO?]],Table_LuT_Begroting_Deelnemers[[#This Row],[Cash Ontvangen]],0)</f>
        <v>0</v>
      </c>
      <c r="AQ51" s="8" cm="1">
        <f t="array" aca="1" ref="AQ51" ca="1">IF(Table_LuT_Begroting_Deelnemers[[#This Row],[FO | IO | EO]]="FO",INDIRECT("In_kind_"&amp;Table_LuT_Begroting_Deelnemers[[#This Row],[Verkorte Referentienaam Deelnemer]]),0)</f>
        <v>0</v>
      </c>
      <c r="AR51" s="8" cm="1">
        <f t="array" aca="1" ref="AR51" ca="1">IF(Table_LuT_Begroting_Deelnemers[[#This Row],[FO | IO | EO]]="FO",INDIRECT("Overige_Subsidies_"&amp;Table_LuT_Begroting_Deelnemers[[#This Row],[Verkorte Referentienaam Deelnemer]]),0)</f>
        <v>0</v>
      </c>
      <c r="AS51" s="8" cm="1">
        <f t="array" aca="1" ref="AS51" ca="1">IF(Table_LuT_Begroting_Deelnemers[[#This Row],[FO | IO | EO]]="FO",INDIRECT("Subsidie_FO_"&amp;Table_LuT_Begroting_Deelnemers[[#This Row],[Verkorte Referentienaam Deelnemer]]),0)</f>
        <v>0</v>
      </c>
      <c r="AT51" s="8" cm="1">
        <f t="array" aca="1" ref="AT51" ca="1">IF(Table_LuT_Begroting_Deelnemers[[#This Row],[FO | IO | EO]]="IO",INDIRECT("Subsidie_IO_"&amp;Table_LuT_Begroting_Deelnemers[[#This Row],[Verkorte Referentienaam Deelnemer]]),0)</f>
        <v>0</v>
      </c>
      <c r="AU51" s="8" cm="1">
        <f t="array" aca="1" ref="AU51" ca="1">IF(Table_LuT_Begroting_Deelnemers[[#This Row],[FO | IO | EO]]="EO",INDIRECT("Subsidie_EO_"&amp;Table_LuT_Begroting_Deelnemers[[#This Row],[Verkorte Referentienaam Deelnemer]]),0)</f>
        <v>0</v>
      </c>
      <c r="AV51" s="8">
        <f ca="1">SUM(Table_LuT_Begroting_Deelnemers[[#This Row],[Gevraagde Subsidie FO]:[Gevraagde Subsidie EO]])</f>
        <v>0</v>
      </c>
      <c r="AW51" s="3"/>
      <c r="AX51" s="3"/>
      <c r="AY51" s="3"/>
      <c r="AZ51" s="3"/>
    </row>
    <row r="52" spans="1:52" ht="15" customHeight="1" x14ac:dyDescent="0.25">
      <c r="A52" s="2" t="s">
        <v>189</v>
      </c>
      <c r="B52" s="2" t="s">
        <v>83</v>
      </c>
      <c r="C52" s="3" t="str">
        <f>_xlfn.XLOOKUP(Table_LuT_Begroting_Deelnemers[[#This Row],[ID Deelnemer]],Table_LuT_Deelnemers[ID Deelnemer],Table_LuT_Deelnemers[Verkorte Referentienaam Deelnemer],"&lt;Not in LuT&gt;",0,1)</f>
        <v>DN11</v>
      </c>
      <c r="D52" s="3" t="str">
        <f>Table_LuT_Begroting_Deelnemers[[#This Row],[ID Deelnemer]]&amp;" # "&amp;Table_LuT_Begroting_Deelnemers[[#This Row],[FO | IO | EO]]</f>
        <v>Deelnemer 11 # EO</v>
      </c>
      <c r="E52" s="3" t="b" cm="1">
        <f t="array" aca="1" ref="E52" ca="1">_xlfn.XLOOKUP(Table_LuT_Begroting_Deelnemers[[#This Row],[ID Deelnemer]],Table_LuT_Deelnemers[ID Deelnemer],INDIRECT("Table_LuT_Deelnemers["&amp;E$1&amp;"]"),"&lt;Not in LuT&gt;",0,1)</f>
        <v>0</v>
      </c>
      <c r="F52" s="3" t="b" cm="1">
        <f t="array" aca="1" ref="F52" ca="1">_xlfn.XLOOKUP(Table_LuT_Begroting_Deelnemers[[#This Row],[ID Deelnemer]],Table_LuT_Deelnemers[ID Deelnemer],INDIRECT("Table_LuT_Deelnemers["&amp;F$1&amp;"]"),"&lt;Not in LuT&gt;",0,1)</f>
        <v>0</v>
      </c>
      <c r="G52" s="3" t="b" cm="1">
        <f t="array" aca="1" ref="G52" ca="1">_xlfn.XLOOKUP(Table_LuT_Begroting_Deelnemers[[#This Row],[ID Deelnemer]],Table_LuT_Deelnemers[ID Deelnemer],INDIRECT("Table_LuT_Deelnemers["&amp;G$1&amp;"]"),"&lt;Not in LuT&gt;",0,1)</f>
        <v>0</v>
      </c>
      <c r="H52" s="3" t="b" cm="1">
        <f t="array" ref="H52">Var_MKB_Consortium</f>
        <v>1</v>
      </c>
      <c r="I52" s="3" t="b">
        <f ca="1">Table_LuT_Begroting_Deelnemers[[#This Row],[Is OO?]]</f>
        <v>0</v>
      </c>
      <c r="J52" s="3" t="str" cm="1">
        <f t="array" aca="1" ref="J52" ca="1">_xlfn.XLOOKUP(Table_LuT_Begroting_Deelnemers[[#This Row],[ID Deelnemer]],Table_LuT_Deelnemers[ID Deelnemer],INDIRECT("Table_LuT_Deelnemers["&amp;J$1&amp;"]"),"&lt;Not in LuT&gt;",0,1)</f>
        <v/>
      </c>
      <c r="K52" s="3" t="str" cm="1">
        <f t="array" aca="1" ref="K52" ca="1">_xlfn.XLOOKUP(Table_LuT_Begroting_Deelnemers[[#This Row],[ID Deelnemer]],Table_LuT_Deelnemers[ID Deelnemer],INDIRECT("Table_LuT_Deelnemers["&amp;K$1&amp;"]"),"&lt;Not in LuT&gt;",0,1)</f>
        <v/>
      </c>
      <c r="L52" s="8" cm="1">
        <f t="array" aca="1" ref="L52" ca="1">INDIRECT("'"&amp;$A52&amp;"'!Kosten_"&amp;Table_LuT_Begroting_Deelnemers[[#This Row],[FO | IO | EO]])</f>
        <v>0</v>
      </c>
      <c r="M52" s="8" cm="1">
        <f t="array" aca="1" ref="M52" ca="1">_xlfn.LET(_xlpm.maxsub_aux,INDIRECT("'"&amp;$A52&amp;"'!Max_Subsidie_"&amp;Table_LuT_Begroting_Deelnemers[[#This Row],[FO | IO | EO]]),IF(Var_Sub.instr.="MKB",IF(Table_LuT_Begroting_Deelnemers[[#This Row],[Is MKB?]],MIN(_xlpm.maxsub_aux,Var_MaxSub_MKB_call_MKB),MIN(_xlpm.maxsub_aux,Var_MaxSub_MKB_call_OO)),_xlpm.maxsub_aux))</f>
        <v>0</v>
      </c>
      <c r="N52" s="8">
        <f ca="1">Table_LuT_Begroting_Deelnemers[[#This Row],[Kosten]]-Table_LuT_Begroting_Deelnemers[[#This Row],[Maximale Subsidie - HTSM]]</f>
        <v>0</v>
      </c>
      <c r="O52" s="387" cm="1">
        <f t="array" aca="1" ref="O52"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52" s="394">
        <f ca="1">Table_LuT_Begroting_Deelnemers[[#This Row],[Maximale Subsidie % - wettelijk]]*Table_LuT_Begroting_Deelnemers[[#This Row],[Kosten]]</f>
        <v>0</v>
      </c>
      <c r="Q52"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5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5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52" s="8">
        <f ca="1">Table_LuT_Begroting_Deelnemers[[#This Row],[Kosten OO]]-Table_LuT_Begroting_Deelnemers[[#This Row],[Maximale Subsidie OO - HTSM]]</f>
        <v>0</v>
      </c>
      <c r="U5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52"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5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5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52" s="8">
        <f ca="1">Table_LuT_Begroting_Deelnemers[[#This Row],[Kosten PP]]-Table_LuT_Begroting_Deelnemers[[#This Row],[Maximale Subsidie PP - HTSM]]</f>
        <v>0</v>
      </c>
      <c r="Z5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52"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5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5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52" s="8">
        <f ca="1">Table_LuT_Begroting_Deelnemers[[#This Row],[Kosten GB]]-Table_LuT_Begroting_Deelnemers[[#This Row],[Maximale Subsidie GB - HTSM]]</f>
        <v>0</v>
      </c>
      <c r="AE5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52"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52"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5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52" s="8">
        <f ca="1">Table_LuT_Begroting_Deelnemers[[#This Row],[Kosten MKB]]-Table_LuT_Begroting_Deelnemers[[#This Row],[Maximale Subsidie MKB - HTSM]]</f>
        <v>0</v>
      </c>
      <c r="AJ52"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52"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52" s="8">
        <f ca="1">MIN(Table_LuT_Begroting_Deelnemers[[#This Row],[Gegenereerde Subsidie - OO+MKB]],Table_LuT_Begroting_Deelnemers[[#This Row],[Maximale Subsidie OO - overheid]])</f>
        <v>0</v>
      </c>
      <c r="AM52" s="8" cm="1">
        <f t="array" aca="1" ref="AM52"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52" s="8" cm="1">
        <f t="array" aca="1" ref="AN52" ca="1">IF(Table_LuT_Begroting_Deelnemers[[#This Row],[FO | IO | EO]]="FO",INDIRECT("Cash_"&amp;Table_LuT_Begroting_Deelnemers[[#This Row],[Verkorte Referentienaam Deelnemer]]),0)</f>
        <v>0</v>
      </c>
      <c r="AO52" s="8" cm="1">
        <f t="array" aca="1" ref="AO52" ca="1">IF(Table_LuT_Begroting_Deelnemers[[#This Row],[FO | IO | EO]]="FO",INDIRECT("Cash_Ontvangen_"&amp;Table_LuT_Begroting_Deelnemers[[#This Row],[Verkorte Referentienaam Deelnemer]]),0)</f>
        <v>0</v>
      </c>
      <c r="AP52" s="8">
        <f ca="1">IF(Table_LuT_Begroting_Deelnemers[[#This Row],[Is OO?]],Table_LuT_Begroting_Deelnemers[[#This Row],[Cash Ontvangen]],0)</f>
        <v>0</v>
      </c>
      <c r="AQ52" s="8" cm="1">
        <f t="array" aca="1" ref="AQ52" ca="1">IF(Table_LuT_Begroting_Deelnemers[[#This Row],[FO | IO | EO]]="FO",INDIRECT("In_kind_"&amp;Table_LuT_Begroting_Deelnemers[[#This Row],[Verkorte Referentienaam Deelnemer]]),0)</f>
        <v>0</v>
      </c>
      <c r="AR52" s="8" cm="1">
        <f t="array" aca="1" ref="AR52" ca="1">IF(Table_LuT_Begroting_Deelnemers[[#This Row],[FO | IO | EO]]="FO",INDIRECT("Overige_Subsidies_"&amp;Table_LuT_Begroting_Deelnemers[[#This Row],[Verkorte Referentienaam Deelnemer]]),0)</f>
        <v>0</v>
      </c>
      <c r="AS52" s="8" cm="1">
        <f t="array" aca="1" ref="AS52" ca="1">IF(Table_LuT_Begroting_Deelnemers[[#This Row],[FO | IO | EO]]="FO",INDIRECT("Subsidie_FO_"&amp;Table_LuT_Begroting_Deelnemers[[#This Row],[Verkorte Referentienaam Deelnemer]]),0)</f>
        <v>0</v>
      </c>
      <c r="AT52" s="8" cm="1">
        <f t="array" aca="1" ref="AT52" ca="1">IF(Table_LuT_Begroting_Deelnemers[[#This Row],[FO | IO | EO]]="IO",INDIRECT("Subsidie_IO_"&amp;Table_LuT_Begroting_Deelnemers[[#This Row],[Verkorte Referentienaam Deelnemer]]),0)</f>
        <v>0</v>
      </c>
      <c r="AU52" s="8" cm="1">
        <f t="array" aca="1" ref="AU52" ca="1">IF(Table_LuT_Begroting_Deelnemers[[#This Row],[FO | IO | EO]]="EO",INDIRECT("Subsidie_EO_"&amp;Table_LuT_Begroting_Deelnemers[[#This Row],[Verkorte Referentienaam Deelnemer]]),0)</f>
        <v>0</v>
      </c>
      <c r="AV52" s="8">
        <f ca="1">SUM(Table_LuT_Begroting_Deelnemers[[#This Row],[Gevraagde Subsidie FO]:[Gevraagde Subsidie EO]])</f>
        <v>0</v>
      </c>
      <c r="AW52" s="3"/>
      <c r="AX52" s="3"/>
      <c r="AY52" s="3"/>
      <c r="AZ52" s="3"/>
    </row>
    <row r="53" spans="1:52" ht="15" customHeight="1" x14ac:dyDescent="0.25">
      <c r="A53" s="2" t="s">
        <v>190</v>
      </c>
      <c r="B53" s="2" t="s">
        <v>83</v>
      </c>
      <c r="C53" s="3" t="str">
        <f>_xlfn.XLOOKUP(Table_LuT_Begroting_Deelnemers[[#This Row],[ID Deelnemer]],Table_LuT_Deelnemers[ID Deelnemer],Table_LuT_Deelnemers[Verkorte Referentienaam Deelnemer],"&lt;Not in LuT&gt;",0,1)</f>
        <v>DN12</v>
      </c>
      <c r="D53" s="3" t="str">
        <f>Table_LuT_Begroting_Deelnemers[[#This Row],[ID Deelnemer]]&amp;" # "&amp;Table_LuT_Begroting_Deelnemers[[#This Row],[FO | IO | EO]]</f>
        <v>Deelnemer 12 # EO</v>
      </c>
      <c r="E53" s="3" t="b" cm="1">
        <f t="array" aca="1" ref="E53" ca="1">_xlfn.XLOOKUP(Table_LuT_Begroting_Deelnemers[[#This Row],[ID Deelnemer]],Table_LuT_Deelnemers[ID Deelnemer],INDIRECT("Table_LuT_Deelnemers["&amp;E$1&amp;"]"),"&lt;Not in LuT&gt;",0,1)</f>
        <v>0</v>
      </c>
      <c r="F53" s="3" t="b" cm="1">
        <f t="array" aca="1" ref="F53" ca="1">_xlfn.XLOOKUP(Table_LuT_Begroting_Deelnemers[[#This Row],[ID Deelnemer]],Table_LuT_Deelnemers[ID Deelnemer],INDIRECT("Table_LuT_Deelnemers["&amp;F$1&amp;"]"),"&lt;Not in LuT&gt;",0,1)</f>
        <v>0</v>
      </c>
      <c r="G53" s="3" t="b" cm="1">
        <f t="array" aca="1" ref="G53" ca="1">_xlfn.XLOOKUP(Table_LuT_Begroting_Deelnemers[[#This Row],[ID Deelnemer]],Table_LuT_Deelnemers[ID Deelnemer],INDIRECT("Table_LuT_Deelnemers["&amp;G$1&amp;"]"),"&lt;Not in LuT&gt;",0,1)</f>
        <v>0</v>
      </c>
      <c r="H53" s="3" t="b" cm="1">
        <f t="array" ref="H53">Var_MKB_Consortium</f>
        <v>1</v>
      </c>
      <c r="I53" s="3" t="b">
        <f ca="1">Table_LuT_Begroting_Deelnemers[[#This Row],[Is OO?]]</f>
        <v>0</v>
      </c>
      <c r="J53" s="3" t="str" cm="1">
        <f t="array" aca="1" ref="J53" ca="1">_xlfn.XLOOKUP(Table_LuT_Begroting_Deelnemers[[#This Row],[ID Deelnemer]],Table_LuT_Deelnemers[ID Deelnemer],INDIRECT("Table_LuT_Deelnemers["&amp;J$1&amp;"]"),"&lt;Not in LuT&gt;",0,1)</f>
        <v/>
      </c>
      <c r="K53" s="3" t="str" cm="1">
        <f t="array" aca="1" ref="K53" ca="1">_xlfn.XLOOKUP(Table_LuT_Begroting_Deelnemers[[#This Row],[ID Deelnemer]],Table_LuT_Deelnemers[ID Deelnemer],INDIRECT("Table_LuT_Deelnemers["&amp;K$1&amp;"]"),"&lt;Not in LuT&gt;",0,1)</f>
        <v/>
      </c>
      <c r="L53" s="8" cm="1">
        <f t="array" aca="1" ref="L53" ca="1">INDIRECT("'"&amp;$A53&amp;"'!Kosten_"&amp;Table_LuT_Begroting_Deelnemers[[#This Row],[FO | IO | EO]])</f>
        <v>0</v>
      </c>
      <c r="M53" s="8" cm="1">
        <f t="array" aca="1" ref="M53" ca="1">_xlfn.LET(_xlpm.maxsub_aux,INDIRECT("'"&amp;$A53&amp;"'!Max_Subsidie_"&amp;Table_LuT_Begroting_Deelnemers[[#This Row],[FO | IO | EO]]),IF(Var_Sub.instr.="MKB",IF(Table_LuT_Begroting_Deelnemers[[#This Row],[Is MKB?]],MIN(_xlpm.maxsub_aux,Var_MaxSub_MKB_call_MKB),MIN(_xlpm.maxsub_aux,Var_MaxSub_MKB_call_OO)),_xlpm.maxsub_aux))</f>
        <v>0</v>
      </c>
      <c r="N53" s="8">
        <f ca="1">Table_LuT_Begroting_Deelnemers[[#This Row],[Kosten]]-Table_LuT_Begroting_Deelnemers[[#This Row],[Maximale Subsidie - HTSM]]</f>
        <v>0</v>
      </c>
      <c r="O53" s="387" cm="1">
        <f t="array" aca="1" ref="O53"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53" s="394">
        <f ca="1">Table_LuT_Begroting_Deelnemers[[#This Row],[Maximale Subsidie % - wettelijk]]*Table_LuT_Begroting_Deelnemers[[#This Row],[Kosten]]</f>
        <v>0</v>
      </c>
      <c r="Q53"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5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5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53" s="8">
        <f ca="1">Table_LuT_Begroting_Deelnemers[[#This Row],[Kosten OO]]-Table_LuT_Begroting_Deelnemers[[#This Row],[Maximale Subsidie OO - HTSM]]</f>
        <v>0</v>
      </c>
      <c r="U5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53"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5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5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53" s="8">
        <f ca="1">Table_LuT_Begroting_Deelnemers[[#This Row],[Kosten PP]]-Table_LuT_Begroting_Deelnemers[[#This Row],[Maximale Subsidie PP - HTSM]]</f>
        <v>0</v>
      </c>
      <c r="Z5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53"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5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5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53" s="8">
        <f ca="1">Table_LuT_Begroting_Deelnemers[[#This Row],[Kosten GB]]-Table_LuT_Begroting_Deelnemers[[#This Row],[Maximale Subsidie GB - HTSM]]</f>
        <v>0</v>
      </c>
      <c r="AE5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53"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53"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5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53" s="8">
        <f ca="1">Table_LuT_Begroting_Deelnemers[[#This Row],[Kosten MKB]]-Table_LuT_Begroting_Deelnemers[[#This Row],[Maximale Subsidie MKB - HTSM]]</f>
        <v>0</v>
      </c>
      <c r="AJ53"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53"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53" s="8">
        <f ca="1">MIN(Table_LuT_Begroting_Deelnemers[[#This Row],[Gegenereerde Subsidie - OO+MKB]],Table_LuT_Begroting_Deelnemers[[#This Row],[Maximale Subsidie OO - overheid]])</f>
        <v>0</v>
      </c>
      <c r="AM53" s="8" cm="1">
        <f t="array" aca="1" ref="AM53"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53" s="8" cm="1">
        <f t="array" aca="1" ref="AN53" ca="1">IF(Table_LuT_Begroting_Deelnemers[[#This Row],[FO | IO | EO]]="FO",INDIRECT("Cash_"&amp;Table_LuT_Begroting_Deelnemers[[#This Row],[Verkorte Referentienaam Deelnemer]]),0)</f>
        <v>0</v>
      </c>
      <c r="AO53" s="8" cm="1">
        <f t="array" aca="1" ref="AO53" ca="1">IF(Table_LuT_Begroting_Deelnemers[[#This Row],[FO | IO | EO]]="FO",INDIRECT("Cash_Ontvangen_"&amp;Table_LuT_Begroting_Deelnemers[[#This Row],[Verkorte Referentienaam Deelnemer]]),0)</f>
        <v>0</v>
      </c>
      <c r="AP53" s="8">
        <f ca="1">IF(Table_LuT_Begroting_Deelnemers[[#This Row],[Is OO?]],Table_LuT_Begroting_Deelnemers[[#This Row],[Cash Ontvangen]],0)</f>
        <v>0</v>
      </c>
      <c r="AQ53" s="8" cm="1">
        <f t="array" aca="1" ref="AQ53" ca="1">IF(Table_LuT_Begroting_Deelnemers[[#This Row],[FO | IO | EO]]="FO",INDIRECT("In_kind_"&amp;Table_LuT_Begroting_Deelnemers[[#This Row],[Verkorte Referentienaam Deelnemer]]),0)</f>
        <v>0</v>
      </c>
      <c r="AR53" s="8" cm="1">
        <f t="array" aca="1" ref="AR53" ca="1">IF(Table_LuT_Begroting_Deelnemers[[#This Row],[FO | IO | EO]]="FO",INDIRECT("Overige_Subsidies_"&amp;Table_LuT_Begroting_Deelnemers[[#This Row],[Verkorte Referentienaam Deelnemer]]),0)</f>
        <v>0</v>
      </c>
      <c r="AS53" s="8" cm="1">
        <f t="array" aca="1" ref="AS53" ca="1">IF(Table_LuT_Begroting_Deelnemers[[#This Row],[FO | IO | EO]]="FO",INDIRECT("Subsidie_FO_"&amp;Table_LuT_Begroting_Deelnemers[[#This Row],[Verkorte Referentienaam Deelnemer]]),0)</f>
        <v>0</v>
      </c>
      <c r="AT53" s="8" cm="1">
        <f t="array" aca="1" ref="AT53" ca="1">IF(Table_LuT_Begroting_Deelnemers[[#This Row],[FO | IO | EO]]="IO",INDIRECT("Subsidie_IO_"&amp;Table_LuT_Begroting_Deelnemers[[#This Row],[Verkorte Referentienaam Deelnemer]]),0)</f>
        <v>0</v>
      </c>
      <c r="AU53" s="8" cm="1">
        <f t="array" aca="1" ref="AU53" ca="1">IF(Table_LuT_Begroting_Deelnemers[[#This Row],[FO | IO | EO]]="EO",INDIRECT("Subsidie_EO_"&amp;Table_LuT_Begroting_Deelnemers[[#This Row],[Verkorte Referentienaam Deelnemer]]),0)</f>
        <v>0</v>
      </c>
      <c r="AV53" s="8">
        <f ca="1">SUM(Table_LuT_Begroting_Deelnemers[[#This Row],[Gevraagde Subsidie FO]:[Gevraagde Subsidie EO]])</f>
        <v>0</v>
      </c>
      <c r="AW53" s="3"/>
      <c r="AX53" s="3"/>
      <c r="AY53" s="3"/>
      <c r="AZ53" s="3"/>
    </row>
    <row r="54" spans="1:52" ht="15" customHeight="1" x14ac:dyDescent="0.25">
      <c r="A54" s="2" t="s">
        <v>191</v>
      </c>
      <c r="B54" s="2" t="s">
        <v>83</v>
      </c>
      <c r="C54" s="3" t="str">
        <f>_xlfn.XLOOKUP(Table_LuT_Begroting_Deelnemers[[#This Row],[ID Deelnemer]],Table_LuT_Deelnemers[ID Deelnemer],Table_LuT_Deelnemers[Verkorte Referentienaam Deelnemer],"&lt;Not in LuT&gt;",0,1)</f>
        <v>DN13</v>
      </c>
      <c r="D54" s="3" t="str">
        <f>Table_LuT_Begroting_Deelnemers[[#This Row],[ID Deelnemer]]&amp;" # "&amp;Table_LuT_Begroting_Deelnemers[[#This Row],[FO | IO | EO]]</f>
        <v>Deelnemer 13 # EO</v>
      </c>
      <c r="E54" s="3" t="b" cm="1">
        <f t="array" aca="1" ref="E54" ca="1">_xlfn.XLOOKUP(Table_LuT_Begroting_Deelnemers[[#This Row],[ID Deelnemer]],Table_LuT_Deelnemers[ID Deelnemer],INDIRECT("Table_LuT_Deelnemers["&amp;E$1&amp;"]"),"&lt;Not in LuT&gt;",0,1)</f>
        <v>0</v>
      </c>
      <c r="F54" s="3" t="b" cm="1">
        <f t="array" aca="1" ref="F54" ca="1">_xlfn.XLOOKUP(Table_LuT_Begroting_Deelnemers[[#This Row],[ID Deelnemer]],Table_LuT_Deelnemers[ID Deelnemer],INDIRECT("Table_LuT_Deelnemers["&amp;F$1&amp;"]"),"&lt;Not in LuT&gt;",0,1)</f>
        <v>0</v>
      </c>
      <c r="G54" s="3" t="b" cm="1">
        <f t="array" aca="1" ref="G54" ca="1">_xlfn.XLOOKUP(Table_LuT_Begroting_Deelnemers[[#This Row],[ID Deelnemer]],Table_LuT_Deelnemers[ID Deelnemer],INDIRECT("Table_LuT_Deelnemers["&amp;G$1&amp;"]"),"&lt;Not in LuT&gt;",0,1)</f>
        <v>0</v>
      </c>
      <c r="H54" s="3" t="b" cm="1">
        <f t="array" ref="H54">Var_MKB_Consortium</f>
        <v>1</v>
      </c>
      <c r="I54" s="3" t="b">
        <f ca="1">Table_LuT_Begroting_Deelnemers[[#This Row],[Is OO?]]</f>
        <v>0</v>
      </c>
      <c r="J54" s="3" t="str" cm="1">
        <f t="array" aca="1" ref="J54" ca="1">_xlfn.XLOOKUP(Table_LuT_Begroting_Deelnemers[[#This Row],[ID Deelnemer]],Table_LuT_Deelnemers[ID Deelnemer],INDIRECT("Table_LuT_Deelnemers["&amp;J$1&amp;"]"),"&lt;Not in LuT&gt;",0,1)</f>
        <v/>
      </c>
      <c r="K54" s="3" t="str" cm="1">
        <f t="array" aca="1" ref="K54" ca="1">_xlfn.XLOOKUP(Table_LuT_Begroting_Deelnemers[[#This Row],[ID Deelnemer]],Table_LuT_Deelnemers[ID Deelnemer],INDIRECT("Table_LuT_Deelnemers["&amp;K$1&amp;"]"),"&lt;Not in LuT&gt;",0,1)</f>
        <v/>
      </c>
      <c r="L54" s="8" cm="1">
        <f t="array" aca="1" ref="L54" ca="1">INDIRECT("'"&amp;$A54&amp;"'!Kosten_"&amp;Table_LuT_Begroting_Deelnemers[[#This Row],[FO | IO | EO]])</f>
        <v>0</v>
      </c>
      <c r="M54" s="8" cm="1">
        <f t="array" aca="1" ref="M54" ca="1">_xlfn.LET(_xlpm.maxsub_aux,INDIRECT("'"&amp;$A54&amp;"'!Max_Subsidie_"&amp;Table_LuT_Begroting_Deelnemers[[#This Row],[FO | IO | EO]]),IF(Var_Sub.instr.="MKB",IF(Table_LuT_Begroting_Deelnemers[[#This Row],[Is MKB?]],MIN(_xlpm.maxsub_aux,Var_MaxSub_MKB_call_MKB),MIN(_xlpm.maxsub_aux,Var_MaxSub_MKB_call_OO)),_xlpm.maxsub_aux))</f>
        <v>0</v>
      </c>
      <c r="N54" s="8">
        <f ca="1">Table_LuT_Begroting_Deelnemers[[#This Row],[Kosten]]-Table_LuT_Begroting_Deelnemers[[#This Row],[Maximale Subsidie - HTSM]]</f>
        <v>0</v>
      </c>
      <c r="O54" s="387" cm="1">
        <f t="array" aca="1" ref="O54"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54" s="394">
        <f ca="1">Table_LuT_Begroting_Deelnemers[[#This Row],[Maximale Subsidie % - wettelijk]]*Table_LuT_Begroting_Deelnemers[[#This Row],[Kosten]]</f>
        <v>0</v>
      </c>
      <c r="Q54"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5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5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54" s="8">
        <f ca="1">Table_LuT_Begroting_Deelnemers[[#This Row],[Kosten OO]]-Table_LuT_Begroting_Deelnemers[[#This Row],[Maximale Subsidie OO - HTSM]]</f>
        <v>0</v>
      </c>
      <c r="U5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54"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5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5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54" s="8">
        <f ca="1">Table_LuT_Begroting_Deelnemers[[#This Row],[Kosten PP]]-Table_LuT_Begroting_Deelnemers[[#This Row],[Maximale Subsidie PP - HTSM]]</f>
        <v>0</v>
      </c>
      <c r="Z5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54"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5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5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54" s="8">
        <f ca="1">Table_LuT_Begroting_Deelnemers[[#This Row],[Kosten GB]]-Table_LuT_Begroting_Deelnemers[[#This Row],[Maximale Subsidie GB - HTSM]]</f>
        <v>0</v>
      </c>
      <c r="AE5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54"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54"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5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54" s="8">
        <f ca="1">Table_LuT_Begroting_Deelnemers[[#This Row],[Kosten MKB]]-Table_LuT_Begroting_Deelnemers[[#This Row],[Maximale Subsidie MKB - HTSM]]</f>
        <v>0</v>
      </c>
      <c r="AJ54"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54"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54" s="8">
        <f ca="1">MIN(Table_LuT_Begroting_Deelnemers[[#This Row],[Gegenereerde Subsidie - OO+MKB]],Table_LuT_Begroting_Deelnemers[[#This Row],[Maximale Subsidie OO - overheid]])</f>
        <v>0</v>
      </c>
      <c r="AM54" s="8" cm="1">
        <f t="array" aca="1" ref="AM54"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54" s="8" cm="1">
        <f t="array" aca="1" ref="AN54" ca="1">IF(Table_LuT_Begroting_Deelnemers[[#This Row],[FO | IO | EO]]="FO",INDIRECT("Cash_"&amp;Table_LuT_Begroting_Deelnemers[[#This Row],[Verkorte Referentienaam Deelnemer]]),0)</f>
        <v>0</v>
      </c>
      <c r="AO54" s="8" cm="1">
        <f t="array" aca="1" ref="AO54" ca="1">IF(Table_LuT_Begroting_Deelnemers[[#This Row],[FO | IO | EO]]="FO",INDIRECT("Cash_Ontvangen_"&amp;Table_LuT_Begroting_Deelnemers[[#This Row],[Verkorte Referentienaam Deelnemer]]),0)</f>
        <v>0</v>
      </c>
      <c r="AP54" s="8">
        <f ca="1">IF(Table_LuT_Begroting_Deelnemers[[#This Row],[Is OO?]],Table_LuT_Begroting_Deelnemers[[#This Row],[Cash Ontvangen]],0)</f>
        <v>0</v>
      </c>
      <c r="AQ54" s="8" cm="1">
        <f t="array" aca="1" ref="AQ54" ca="1">IF(Table_LuT_Begroting_Deelnemers[[#This Row],[FO | IO | EO]]="FO",INDIRECT("In_kind_"&amp;Table_LuT_Begroting_Deelnemers[[#This Row],[Verkorte Referentienaam Deelnemer]]),0)</f>
        <v>0</v>
      </c>
      <c r="AR54" s="8" cm="1">
        <f t="array" aca="1" ref="AR54" ca="1">IF(Table_LuT_Begroting_Deelnemers[[#This Row],[FO | IO | EO]]="FO",INDIRECT("Overige_Subsidies_"&amp;Table_LuT_Begroting_Deelnemers[[#This Row],[Verkorte Referentienaam Deelnemer]]),0)</f>
        <v>0</v>
      </c>
      <c r="AS54" s="8" cm="1">
        <f t="array" aca="1" ref="AS54" ca="1">IF(Table_LuT_Begroting_Deelnemers[[#This Row],[FO | IO | EO]]="FO",INDIRECT("Subsidie_FO_"&amp;Table_LuT_Begroting_Deelnemers[[#This Row],[Verkorte Referentienaam Deelnemer]]),0)</f>
        <v>0</v>
      </c>
      <c r="AT54" s="8" cm="1">
        <f t="array" aca="1" ref="AT54" ca="1">IF(Table_LuT_Begroting_Deelnemers[[#This Row],[FO | IO | EO]]="IO",INDIRECT("Subsidie_IO_"&amp;Table_LuT_Begroting_Deelnemers[[#This Row],[Verkorte Referentienaam Deelnemer]]),0)</f>
        <v>0</v>
      </c>
      <c r="AU54" s="8" cm="1">
        <f t="array" aca="1" ref="AU54" ca="1">IF(Table_LuT_Begroting_Deelnemers[[#This Row],[FO | IO | EO]]="EO",INDIRECT("Subsidie_EO_"&amp;Table_LuT_Begroting_Deelnemers[[#This Row],[Verkorte Referentienaam Deelnemer]]),0)</f>
        <v>0</v>
      </c>
      <c r="AV54" s="8">
        <f ca="1">SUM(Table_LuT_Begroting_Deelnemers[[#This Row],[Gevraagde Subsidie FO]:[Gevraagde Subsidie EO]])</f>
        <v>0</v>
      </c>
      <c r="AW54" s="3"/>
      <c r="AX54" s="3"/>
      <c r="AY54" s="3"/>
      <c r="AZ54" s="3"/>
    </row>
    <row r="55" spans="1:52" ht="15" customHeight="1" x14ac:dyDescent="0.25">
      <c r="A55" s="2" t="s">
        <v>192</v>
      </c>
      <c r="B55" s="2" t="s">
        <v>83</v>
      </c>
      <c r="C55" s="3" t="str">
        <f>_xlfn.XLOOKUP(Table_LuT_Begroting_Deelnemers[[#This Row],[ID Deelnemer]],Table_LuT_Deelnemers[ID Deelnemer],Table_LuT_Deelnemers[Verkorte Referentienaam Deelnemer],"&lt;Not in LuT&gt;",0,1)</f>
        <v>DN14</v>
      </c>
      <c r="D55" s="3" t="str">
        <f>Table_LuT_Begroting_Deelnemers[[#This Row],[ID Deelnemer]]&amp;" # "&amp;Table_LuT_Begroting_Deelnemers[[#This Row],[FO | IO | EO]]</f>
        <v>Deelnemer 14 # EO</v>
      </c>
      <c r="E55" s="3" t="b" cm="1">
        <f t="array" aca="1" ref="E55" ca="1">_xlfn.XLOOKUP(Table_LuT_Begroting_Deelnemers[[#This Row],[ID Deelnemer]],Table_LuT_Deelnemers[ID Deelnemer],INDIRECT("Table_LuT_Deelnemers["&amp;E$1&amp;"]"),"&lt;Not in LuT&gt;",0,1)</f>
        <v>0</v>
      </c>
      <c r="F55" s="3" t="b" cm="1">
        <f t="array" aca="1" ref="F55" ca="1">_xlfn.XLOOKUP(Table_LuT_Begroting_Deelnemers[[#This Row],[ID Deelnemer]],Table_LuT_Deelnemers[ID Deelnemer],INDIRECT("Table_LuT_Deelnemers["&amp;F$1&amp;"]"),"&lt;Not in LuT&gt;",0,1)</f>
        <v>0</v>
      </c>
      <c r="G55" s="3" t="b" cm="1">
        <f t="array" aca="1" ref="G55" ca="1">_xlfn.XLOOKUP(Table_LuT_Begroting_Deelnemers[[#This Row],[ID Deelnemer]],Table_LuT_Deelnemers[ID Deelnemer],INDIRECT("Table_LuT_Deelnemers["&amp;G$1&amp;"]"),"&lt;Not in LuT&gt;",0,1)</f>
        <v>0</v>
      </c>
      <c r="H55" s="3" t="b" cm="1">
        <f t="array" ref="H55">Var_MKB_Consortium</f>
        <v>1</v>
      </c>
      <c r="I55" s="3" t="b">
        <f ca="1">Table_LuT_Begroting_Deelnemers[[#This Row],[Is OO?]]</f>
        <v>0</v>
      </c>
      <c r="J55" s="3" t="str" cm="1">
        <f t="array" aca="1" ref="J55" ca="1">_xlfn.XLOOKUP(Table_LuT_Begroting_Deelnemers[[#This Row],[ID Deelnemer]],Table_LuT_Deelnemers[ID Deelnemer],INDIRECT("Table_LuT_Deelnemers["&amp;J$1&amp;"]"),"&lt;Not in LuT&gt;",0,1)</f>
        <v/>
      </c>
      <c r="K55" s="3" t="str" cm="1">
        <f t="array" aca="1" ref="K55" ca="1">_xlfn.XLOOKUP(Table_LuT_Begroting_Deelnemers[[#This Row],[ID Deelnemer]],Table_LuT_Deelnemers[ID Deelnemer],INDIRECT("Table_LuT_Deelnemers["&amp;K$1&amp;"]"),"&lt;Not in LuT&gt;",0,1)</f>
        <v/>
      </c>
      <c r="L55" s="8" cm="1">
        <f t="array" aca="1" ref="L55" ca="1">INDIRECT("'"&amp;$A55&amp;"'!Kosten_"&amp;Table_LuT_Begroting_Deelnemers[[#This Row],[FO | IO | EO]])</f>
        <v>0</v>
      </c>
      <c r="M55" s="8" cm="1">
        <f t="array" aca="1" ref="M55" ca="1">_xlfn.LET(_xlpm.maxsub_aux,INDIRECT("'"&amp;$A55&amp;"'!Max_Subsidie_"&amp;Table_LuT_Begroting_Deelnemers[[#This Row],[FO | IO | EO]]),IF(Var_Sub.instr.="MKB",IF(Table_LuT_Begroting_Deelnemers[[#This Row],[Is MKB?]],MIN(_xlpm.maxsub_aux,Var_MaxSub_MKB_call_MKB),MIN(_xlpm.maxsub_aux,Var_MaxSub_MKB_call_OO)),_xlpm.maxsub_aux))</f>
        <v>0</v>
      </c>
      <c r="N55" s="8">
        <f ca="1">Table_LuT_Begroting_Deelnemers[[#This Row],[Kosten]]-Table_LuT_Begroting_Deelnemers[[#This Row],[Maximale Subsidie - HTSM]]</f>
        <v>0</v>
      </c>
      <c r="O55" s="387" cm="1">
        <f t="array" aca="1" ref="O55"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55" s="394">
        <f ca="1">Table_LuT_Begroting_Deelnemers[[#This Row],[Maximale Subsidie % - wettelijk]]*Table_LuT_Begroting_Deelnemers[[#This Row],[Kosten]]</f>
        <v>0</v>
      </c>
      <c r="Q55"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5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5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55" s="8">
        <f ca="1">Table_LuT_Begroting_Deelnemers[[#This Row],[Kosten OO]]-Table_LuT_Begroting_Deelnemers[[#This Row],[Maximale Subsidie OO - HTSM]]</f>
        <v>0</v>
      </c>
      <c r="U5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55"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5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5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55" s="8">
        <f ca="1">Table_LuT_Begroting_Deelnemers[[#This Row],[Kosten PP]]-Table_LuT_Begroting_Deelnemers[[#This Row],[Maximale Subsidie PP - HTSM]]</f>
        <v>0</v>
      </c>
      <c r="Z5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55"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5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5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55" s="8">
        <f ca="1">Table_LuT_Begroting_Deelnemers[[#This Row],[Kosten GB]]-Table_LuT_Begroting_Deelnemers[[#This Row],[Maximale Subsidie GB - HTSM]]</f>
        <v>0</v>
      </c>
      <c r="AE5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55"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55"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5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55" s="8">
        <f ca="1">Table_LuT_Begroting_Deelnemers[[#This Row],[Kosten MKB]]-Table_LuT_Begroting_Deelnemers[[#This Row],[Maximale Subsidie MKB - HTSM]]</f>
        <v>0</v>
      </c>
      <c r="AJ55"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55"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55" s="8">
        <f ca="1">MIN(Table_LuT_Begroting_Deelnemers[[#This Row],[Gegenereerde Subsidie - OO+MKB]],Table_LuT_Begroting_Deelnemers[[#This Row],[Maximale Subsidie OO - overheid]])</f>
        <v>0</v>
      </c>
      <c r="AM55" s="8" cm="1">
        <f t="array" aca="1" ref="AM55"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55" s="8" cm="1">
        <f t="array" aca="1" ref="AN55" ca="1">IF(Table_LuT_Begroting_Deelnemers[[#This Row],[FO | IO | EO]]="FO",INDIRECT("Cash_"&amp;Table_LuT_Begroting_Deelnemers[[#This Row],[Verkorte Referentienaam Deelnemer]]),0)</f>
        <v>0</v>
      </c>
      <c r="AO55" s="8" cm="1">
        <f t="array" aca="1" ref="AO55" ca="1">IF(Table_LuT_Begroting_Deelnemers[[#This Row],[FO | IO | EO]]="FO",INDIRECT("Cash_Ontvangen_"&amp;Table_LuT_Begroting_Deelnemers[[#This Row],[Verkorte Referentienaam Deelnemer]]),0)</f>
        <v>0</v>
      </c>
      <c r="AP55" s="8">
        <f ca="1">IF(Table_LuT_Begroting_Deelnemers[[#This Row],[Is OO?]],Table_LuT_Begroting_Deelnemers[[#This Row],[Cash Ontvangen]],0)</f>
        <v>0</v>
      </c>
      <c r="AQ55" s="8" cm="1">
        <f t="array" aca="1" ref="AQ55" ca="1">IF(Table_LuT_Begroting_Deelnemers[[#This Row],[FO | IO | EO]]="FO",INDIRECT("In_kind_"&amp;Table_LuT_Begroting_Deelnemers[[#This Row],[Verkorte Referentienaam Deelnemer]]),0)</f>
        <v>0</v>
      </c>
      <c r="AR55" s="8" cm="1">
        <f t="array" aca="1" ref="AR55" ca="1">IF(Table_LuT_Begroting_Deelnemers[[#This Row],[FO | IO | EO]]="FO",INDIRECT("Overige_Subsidies_"&amp;Table_LuT_Begroting_Deelnemers[[#This Row],[Verkorte Referentienaam Deelnemer]]),0)</f>
        <v>0</v>
      </c>
      <c r="AS55" s="8" cm="1">
        <f t="array" aca="1" ref="AS55" ca="1">IF(Table_LuT_Begroting_Deelnemers[[#This Row],[FO | IO | EO]]="FO",INDIRECT("Subsidie_FO_"&amp;Table_LuT_Begroting_Deelnemers[[#This Row],[Verkorte Referentienaam Deelnemer]]),0)</f>
        <v>0</v>
      </c>
      <c r="AT55" s="8" cm="1">
        <f t="array" aca="1" ref="AT55" ca="1">IF(Table_LuT_Begroting_Deelnemers[[#This Row],[FO | IO | EO]]="IO",INDIRECT("Subsidie_IO_"&amp;Table_LuT_Begroting_Deelnemers[[#This Row],[Verkorte Referentienaam Deelnemer]]),0)</f>
        <v>0</v>
      </c>
      <c r="AU55" s="8" cm="1">
        <f t="array" aca="1" ref="AU55" ca="1">IF(Table_LuT_Begroting_Deelnemers[[#This Row],[FO | IO | EO]]="EO",INDIRECT("Subsidie_EO_"&amp;Table_LuT_Begroting_Deelnemers[[#This Row],[Verkorte Referentienaam Deelnemer]]),0)</f>
        <v>0</v>
      </c>
      <c r="AV55" s="8">
        <f ca="1">SUM(Table_LuT_Begroting_Deelnemers[[#This Row],[Gevraagde Subsidie FO]:[Gevraagde Subsidie EO]])</f>
        <v>0</v>
      </c>
      <c r="AW55" s="3"/>
      <c r="AX55" s="3"/>
      <c r="AY55" s="3"/>
      <c r="AZ55" s="3"/>
    </row>
    <row r="56" spans="1:52" ht="15" customHeight="1" x14ac:dyDescent="0.25">
      <c r="A56" s="2" t="s">
        <v>193</v>
      </c>
      <c r="B56" s="2" t="s">
        <v>83</v>
      </c>
      <c r="C56" s="3" t="str">
        <f>_xlfn.XLOOKUP(Table_LuT_Begroting_Deelnemers[[#This Row],[ID Deelnemer]],Table_LuT_Deelnemers[ID Deelnemer],Table_LuT_Deelnemers[Verkorte Referentienaam Deelnemer],"&lt;Not in LuT&gt;",0,1)</f>
        <v>DN15</v>
      </c>
      <c r="D56" s="3" t="str">
        <f>Table_LuT_Begroting_Deelnemers[[#This Row],[ID Deelnemer]]&amp;" # "&amp;Table_LuT_Begroting_Deelnemers[[#This Row],[FO | IO | EO]]</f>
        <v>Deelnemer 15 # EO</v>
      </c>
      <c r="E56" s="3" t="b" cm="1">
        <f t="array" aca="1" ref="E56" ca="1">_xlfn.XLOOKUP(Table_LuT_Begroting_Deelnemers[[#This Row],[ID Deelnemer]],Table_LuT_Deelnemers[ID Deelnemer],INDIRECT("Table_LuT_Deelnemers["&amp;E$1&amp;"]"),"&lt;Not in LuT&gt;",0,1)</f>
        <v>0</v>
      </c>
      <c r="F56" s="3" t="b" cm="1">
        <f t="array" aca="1" ref="F56" ca="1">_xlfn.XLOOKUP(Table_LuT_Begroting_Deelnemers[[#This Row],[ID Deelnemer]],Table_LuT_Deelnemers[ID Deelnemer],INDIRECT("Table_LuT_Deelnemers["&amp;F$1&amp;"]"),"&lt;Not in LuT&gt;",0,1)</f>
        <v>0</v>
      </c>
      <c r="G56" s="3" t="b" cm="1">
        <f t="array" aca="1" ref="G56" ca="1">_xlfn.XLOOKUP(Table_LuT_Begroting_Deelnemers[[#This Row],[ID Deelnemer]],Table_LuT_Deelnemers[ID Deelnemer],INDIRECT("Table_LuT_Deelnemers["&amp;G$1&amp;"]"),"&lt;Not in LuT&gt;",0,1)</f>
        <v>0</v>
      </c>
      <c r="H56" s="3" t="b" cm="1">
        <f t="array" ref="H56">Var_MKB_Consortium</f>
        <v>1</v>
      </c>
      <c r="I56" s="3" t="b">
        <f ca="1">Table_LuT_Begroting_Deelnemers[[#This Row],[Is OO?]]</f>
        <v>0</v>
      </c>
      <c r="J56" s="3" t="str" cm="1">
        <f t="array" aca="1" ref="J56" ca="1">_xlfn.XLOOKUP(Table_LuT_Begroting_Deelnemers[[#This Row],[ID Deelnemer]],Table_LuT_Deelnemers[ID Deelnemer],INDIRECT("Table_LuT_Deelnemers["&amp;J$1&amp;"]"),"&lt;Not in LuT&gt;",0,1)</f>
        <v/>
      </c>
      <c r="K56" s="3" t="str" cm="1">
        <f t="array" aca="1" ref="K56" ca="1">_xlfn.XLOOKUP(Table_LuT_Begroting_Deelnemers[[#This Row],[ID Deelnemer]],Table_LuT_Deelnemers[ID Deelnemer],INDIRECT("Table_LuT_Deelnemers["&amp;K$1&amp;"]"),"&lt;Not in LuT&gt;",0,1)</f>
        <v/>
      </c>
      <c r="L56" s="8" cm="1">
        <f t="array" aca="1" ref="L56" ca="1">INDIRECT("'"&amp;$A56&amp;"'!Kosten_"&amp;Table_LuT_Begroting_Deelnemers[[#This Row],[FO | IO | EO]])</f>
        <v>0</v>
      </c>
      <c r="M56" s="8" cm="1">
        <f t="array" aca="1" ref="M56" ca="1">_xlfn.LET(_xlpm.maxsub_aux,INDIRECT("'"&amp;$A56&amp;"'!Max_Subsidie_"&amp;Table_LuT_Begroting_Deelnemers[[#This Row],[FO | IO | EO]]),IF(Var_Sub.instr.="MKB",IF(Table_LuT_Begroting_Deelnemers[[#This Row],[Is MKB?]],MIN(_xlpm.maxsub_aux,Var_MaxSub_MKB_call_MKB),MIN(_xlpm.maxsub_aux,Var_MaxSub_MKB_call_OO)),_xlpm.maxsub_aux))</f>
        <v>0</v>
      </c>
      <c r="N56" s="8">
        <f ca="1">Table_LuT_Begroting_Deelnemers[[#This Row],[Kosten]]-Table_LuT_Begroting_Deelnemers[[#This Row],[Maximale Subsidie - HTSM]]</f>
        <v>0</v>
      </c>
      <c r="O56" s="387" cm="1">
        <f t="array" aca="1" ref="O56"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56" s="394">
        <f ca="1">Table_LuT_Begroting_Deelnemers[[#This Row],[Maximale Subsidie % - wettelijk]]*Table_LuT_Begroting_Deelnemers[[#This Row],[Kosten]]</f>
        <v>0</v>
      </c>
      <c r="Q56"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5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5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56" s="8">
        <f ca="1">Table_LuT_Begroting_Deelnemers[[#This Row],[Kosten OO]]-Table_LuT_Begroting_Deelnemers[[#This Row],[Maximale Subsidie OO - HTSM]]</f>
        <v>0</v>
      </c>
      <c r="U5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56"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5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5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56" s="8">
        <f ca="1">Table_LuT_Begroting_Deelnemers[[#This Row],[Kosten PP]]-Table_LuT_Begroting_Deelnemers[[#This Row],[Maximale Subsidie PP - HTSM]]</f>
        <v>0</v>
      </c>
      <c r="Z5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56"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5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5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56" s="8">
        <f ca="1">Table_LuT_Begroting_Deelnemers[[#This Row],[Kosten GB]]-Table_LuT_Begroting_Deelnemers[[#This Row],[Maximale Subsidie GB - HTSM]]</f>
        <v>0</v>
      </c>
      <c r="AE5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56"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56"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5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56" s="8">
        <f ca="1">Table_LuT_Begroting_Deelnemers[[#This Row],[Kosten MKB]]-Table_LuT_Begroting_Deelnemers[[#This Row],[Maximale Subsidie MKB - HTSM]]</f>
        <v>0</v>
      </c>
      <c r="AJ56"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56"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56" s="8">
        <f ca="1">MIN(Table_LuT_Begroting_Deelnemers[[#This Row],[Gegenereerde Subsidie - OO+MKB]],Table_LuT_Begroting_Deelnemers[[#This Row],[Maximale Subsidie OO - overheid]])</f>
        <v>0</v>
      </c>
      <c r="AM56" s="8" cm="1">
        <f t="array" aca="1" ref="AM56"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56" s="8" cm="1">
        <f t="array" aca="1" ref="AN56" ca="1">IF(Table_LuT_Begroting_Deelnemers[[#This Row],[FO | IO | EO]]="FO",INDIRECT("Cash_"&amp;Table_LuT_Begroting_Deelnemers[[#This Row],[Verkorte Referentienaam Deelnemer]]),0)</f>
        <v>0</v>
      </c>
      <c r="AO56" s="8" cm="1">
        <f t="array" aca="1" ref="AO56" ca="1">IF(Table_LuT_Begroting_Deelnemers[[#This Row],[FO | IO | EO]]="FO",INDIRECT("Cash_Ontvangen_"&amp;Table_LuT_Begroting_Deelnemers[[#This Row],[Verkorte Referentienaam Deelnemer]]),0)</f>
        <v>0</v>
      </c>
      <c r="AP56" s="8">
        <f ca="1">IF(Table_LuT_Begroting_Deelnemers[[#This Row],[Is OO?]],Table_LuT_Begroting_Deelnemers[[#This Row],[Cash Ontvangen]],0)</f>
        <v>0</v>
      </c>
      <c r="AQ56" s="8" cm="1">
        <f t="array" aca="1" ref="AQ56" ca="1">IF(Table_LuT_Begroting_Deelnemers[[#This Row],[FO | IO | EO]]="FO",INDIRECT("In_kind_"&amp;Table_LuT_Begroting_Deelnemers[[#This Row],[Verkorte Referentienaam Deelnemer]]),0)</f>
        <v>0</v>
      </c>
      <c r="AR56" s="8" cm="1">
        <f t="array" aca="1" ref="AR56" ca="1">IF(Table_LuT_Begroting_Deelnemers[[#This Row],[FO | IO | EO]]="FO",INDIRECT("Overige_Subsidies_"&amp;Table_LuT_Begroting_Deelnemers[[#This Row],[Verkorte Referentienaam Deelnemer]]),0)</f>
        <v>0</v>
      </c>
      <c r="AS56" s="8" cm="1">
        <f t="array" aca="1" ref="AS56" ca="1">IF(Table_LuT_Begroting_Deelnemers[[#This Row],[FO | IO | EO]]="FO",INDIRECT("Subsidie_FO_"&amp;Table_LuT_Begroting_Deelnemers[[#This Row],[Verkorte Referentienaam Deelnemer]]),0)</f>
        <v>0</v>
      </c>
      <c r="AT56" s="8" cm="1">
        <f t="array" aca="1" ref="AT56" ca="1">IF(Table_LuT_Begroting_Deelnemers[[#This Row],[FO | IO | EO]]="IO",INDIRECT("Subsidie_IO_"&amp;Table_LuT_Begroting_Deelnemers[[#This Row],[Verkorte Referentienaam Deelnemer]]),0)</f>
        <v>0</v>
      </c>
      <c r="AU56" s="8" cm="1">
        <f t="array" aca="1" ref="AU56" ca="1">IF(Table_LuT_Begroting_Deelnemers[[#This Row],[FO | IO | EO]]="EO",INDIRECT("Subsidie_EO_"&amp;Table_LuT_Begroting_Deelnemers[[#This Row],[Verkorte Referentienaam Deelnemer]]),0)</f>
        <v>0</v>
      </c>
      <c r="AV56" s="8">
        <f ca="1">SUM(Table_LuT_Begroting_Deelnemers[[#This Row],[Gevraagde Subsidie FO]:[Gevraagde Subsidie EO]])</f>
        <v>0</v>
      </c>
      <c r="AW56" s="3"/>
      <c r="AX56" s="3"/>
      <c r="AY56" s="3"/>
      <c r="AZ56" s="3"/>
    </row>
    <row r="57" spans="1:52" ht="15" customHeight="1" x14ac:dyDescent="0.25">
      <c r="A57" s="2" t="s">
        <v>194</v>
      </c>
      <c r="B57" s="2" t="s">
        <v>83</v>
      </c>
      <c r="C57" s="3" t="str">
        <f>_xlfn.XLOOKUP(Table_LuT_Begroting_Deelnemers[[#This Row],[ID Deelnemer]],Table_LuT_Deelnemers[ID Deelnemer],Table_LuT_Deelnemers[Verkorte Referentienaam Deelnemer],"&lt;Not in LuT&gt;",0,1)</f>
        <v>DN16</v>
      </c>
      <c r="D57" s="3" t="str">
        <f>Table_LuT_Begroting_Deelnemers[[#This Row],[ID Deelnemer]]&amp;" # "&amp;Table_LuT_Begroting_Deelnemers[[#This Row],[FO | IO | EO]]</f>
        <v>Deelnemer 16 # EO</v>
      </c>
      <c r="E57" s="3" t="b" cm="1">
        <f t="array" aca="1" ref="E57" ca="1">_xlfn.XLOOKUP(Table_LuT_Begroting_Deelnemers[[#This Row],[ID Deelnemer]],Table_LuT_Deelnemers[ID Deelnemer],INDIRECT("Table_LuT_Deelnemers["&amp;E$1&amp;"]"),"&lt;Not in LuT&gt;",0,1)</f>
        <v>0</v>
      </c>
      <c r="F57" s="3" t="b" cm="1">
        <f t="array" aca="1" ref="F57" ca="1">_xlfn.XLOOKUP(Table_LuT_Begroting_Deelnemers[[#This Row],[ID Deelnemer]],Table_LuT_Deelnemers[ID Deelnemer],INDIRECT("Table_LuT_Deelnemers["&amp;F$1&amp;"]"),"&lt;Not in LuT&gt;",0,1)</f>
        <v>0</v>
      </c>
      <c r="G57" s="3" t="b" cm="1">
        <f t="array" aca="1" ref="G57" ca="1">_xlfn.XLOOKUP(Table_LuT_Begroting_Deelnemers[[#This Row],[ID Deelnemer]],Table_LuT_Deelnemers[ID Deelnemer],INDIRECT("Table_LuT_Deelnemers["&amp;G$1&amp;"]"),"&lt;Not in LuT&gt;",0,1)</f>
        <v>0</v>
      </c>
      <c r="H57" s="3" t="b" cm="1">
        <f t="array" ref="H57">Var_MKB_Consortium</f>
        <v>1</v>
      </c>
      <c r="I57" s="3" t="b">
        <f ca="1">Table_LuT_Begroting_Deelnemers[[#This Row],[Is OO?]]</f>
        <v>0</v>
      </c>
      <c r="J57" s="3" t="str" cm="1">
        <f t="array" aca="1" ref="J57" ca="1">_xlfn.XLOOKUP(Table_LuT_Begroting_Deelnemers[[#This Row],[ID Deelnemer]],Table_LuT_Deelnemers[ID Deelnemer],INDIRECT("Table_LuT_Deelnemers["&amp;J$1&amp;"]"),"&lt;Not in LuT&gt;",0,1)</f>
        <v/>
      </c>
      <c r="K57" s="3" t="str" cm="1">
        <f t="array" aca="1" ref="K57" ca="1">_xlfn.XLOOKUP(Table_LuT_Begroting_Deelnemers[[#This Row],[ID Deelnemer]],Table_LuT_Deelnemers[ID Deelnemer],INDIRECT("Table_LuT_Deelnemers["&amp;K$1&amp;"]"),"&lt;Not in LuT&gt;",0,1)</f>
        <v/>
      </c>
      <c r="L57" s="8" cm="1">
        <f t="array" aca="1" ref="L57" ca="1">INDIRECT("'"&amp;$A57&amp;"'!Kosten_"&amp;Table_LuT_Begroting_Deelnemers[[#This Row],[FO | IO | EO]])</f>
        <v>0</v>
      </c>
      <c r="M57" s="8" cm="1">
        <f t="array" aca="1" ref="M57" ca="1">_xlfn.LET(_xlpm.maxsub_aux,INDIRECT("'"&amp;$A57&amp;"'!Max_Subsidie_"&amp;Table_LuT_Begroting_Deelnemers[[#This Row],[FO | IO | EO]]),IF(Var_Sub.instr.="MKB",IF(Table_LuT_Begroting_Deelnemers[[#This Row],[Is MKB?]],MIN(_xlpm.maxsub_aux,Var_MaxSub_MKB_call_MKB),MIN(_xlpm.maxsub_aux,Var_MaxSub_MKB_call_OO)),_xlpm.maxsub_aux))</f>
        <v>0</v>
      </c>
      <c r="N57" s="8">
        <f ca="1">Table_LuT_Begroting_Deelnemers[[#This Row],[Kosten]]-Table_LuT_Begroting_Deelnemers[[#This Row],[Maximale Subsidie - HTSM]]</f>
        <v>0</v>
      </c>
      <c r="O57" s="387" cm="1">
        <f t="array" aca="1" ref="O57"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57" s="394">
        <f ca="1">Table_LuT_Begroting_Deelnemers[[#This Row],[Maximale Subsidie % - wettelijk]]*Table_LuT_Begroting_Deelnemers[[#This Row],[Kosten]]</f>
        <v>0</v>
      </c>
      <c r="Q57"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5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5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57" s="8">
        <f ca="1">Table_LuT_Begroting_Deelnemers[[#This Row],[Kosten OO]]-Table_LuT_Begroting_Deelnemers[[#This Row],[Maximale Subsidie OO - HTSM]]</f>
        <v>0</v>
      </c>
      <c r="U5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57"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5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5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57" s="8">
        <f ca="1">Table_LuT_Begroting_Deelnemers[[#This Row],[Kosten PP]]-Table_LuT_Begroting_Deelnemers[[#This Row],[Maximale Subsidie PP - HTSM]]</f>
        <v>0</v>
      </c>
      <c r="Z5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57"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5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5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57" s="8">
        <f ca="1">Table_LuT_Begroting_Deelnemers[[#This Row],[Kosten GB]]-Table_LuT_Begroting_Deelnemers[[#This Row],[Maximale Subsidie GB - HTSM]]</f>
        <v>0</v>
      </c>
      <c r="AE5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57"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57"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5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57" s="8">
        <f ca="1">Table_LuT_Begroting_Deelnemers[[#This Row],[Kosten MKB]]-Table_LuT_Begroting_Deelnemers[[#This Row],[Maximale Subsidie MKB - HTSM]]</f>
        <v>0</v>
      </c>
      <c r="AJ57"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57"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57" s="8">
        <f ca="1">MIN(Table_LuT_Begroting_Deelnemers[[#This Row],[Gegenereerde Subsidie - OO+MKB]],Table_LuT_Begroting_Deelnemers[[#This Row],[Maximale Subsidie OO - overheid]])</f>
        <v>0</v>
      </c>
      <c r="AM57" s="8" cm="1">
        <f t="array" aca="1" ref="AM57"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57" s="8" cm="1">
        <f t="array" aca="1" ref="AN57" ca="1">IF(Table_LuT_Begroting_Deelnemers[[#This Row],[FO | IO | EO]]="FO",INDIRECT("Cash_"&amp;Table_LuT_Begroting_Deelnemers[[#This Row],[Verkorte Referentienaam Deelnemer]]),0)</f>
        <v>0</v>
      </c>
      <c r="AO57" s="8" cm="1">
        <f t="array" aca="1" ref="AO57" ca="1">IF(Table_LuT_Begroting_Deelnemers[[#This Row],[FO | IO | EO]]="FO",INDIRECT("Cash_Ontvangen_"&amp;Table_LuT_Begroting_Deelnemers[[#This Row],[Verkorte Referentienaam Deelnemer]]),0)</f>
        <v>0</v>
      </c>
      <c r="AP57" s="8">
        <f ca="1">IF(Table_LuT_Begroting_Deelnemers[[#This Row],[Is OO?]],Table_LuT_Begroting_Deelnemers[[#This Row],[Cash Ontvangen]],0)</f>
        <v>0</v>
      </c>
      <c r="AQ57" s="8" cm="1">
        <f t="array" aca="1" ref="AQ57" ca="1">IF(Table_LuT_Begroting_Deelnemers[[#This Row],[FO | IO | EO]]="FO",INDIRECT("In_kind_"&amp;Table_LuT_Begroting_Deelnemers[[#This Row],[Verkorte Referentienaam Deelnemer]]),0)</f>
        <v>0</v>
      </c>
      <c r="AR57" s="8" cm="1">
        <f t="array" aca="1" ref="AR57" ca="1">IF(Table_LuT_Begroting_Deelnemers[[#This Row],[FO | IO | EO]]="FO",INDIRECT("Overige_Subsidies_"&amp;Table_LuT_Begroting_Deelnemers[[#This Row],[Verkorte Referentienaam Deelnemer]]),0)</f>
        <v>0</v>
      </c>
      <c r="AS57" s="8" cm="1">
        <f t="array" aca="1" ref="AS57" ca="1">IF(Table_LuT_Begroting_Deelnemers[[#This Row],[FO | IO | EO]]="FO",INDIRECT("Subsidie_FO_"&amp;Table_LuT_Begroting_Deelnemers[[#This Row],[Verkorte Referentienaam Deelnemer]]),0)</f>
        <v>0</v>
      </c>
      <c r="AT57" s="8" cm="1">
        <f t="array" aca="1" ref="AT57" ca="1">IF(Table_LuT_Begroting_Deelnemers[[#This Row],[FO | IO | EO]]="IO",INDIRECT("Subsidie_IO_"&amp;Table_LuT_Begroting_Deelnemers[[#This Row],[Verkorte Referentienaam Deelnemer]]),0)</f>
        <v>0</v>
      </c>
      <c r="AU57" s="8" cm="1">
        <f t="array" aca="1" ref="AU57" ca="1">IF(Table_LuT_Begroting_Deelnemers[[#This Row],[FO | IO | EO]]="EO",INDIRECT("Subsidie_EO_"&amp;Table_LuT_Begroting_Deelnemers[[#This Row],[Verkorte Referentienaam Deelnemer]]),0)</f>
        <v>0</v>
      </c>
      <c r="AV57" s="8">
        <f ca="1">SUM(Table_LuT_Begroting_Deelnemers[[#This Row],[Gevraagde Subsidie FO]:[Gevraagde Subsidie EO]])</f>
        <v>0</v>
      </c>
      <c r="AW57" s="3"/>
      <c r="AX57" s="3"/>
      <c r="AY57" s="3"/>
      <c r="AZ57" s="3"/>
    </row>
    <row r="58" spans="1:52" ht="15" customHeight="1" x14ac:dyDescent="0.25">
      <c r="A58" s="2" t="s">
        <v>195</v>
      </c>
      <c r="B58" s="2" t="s">
        <v>83</v>
      </c>
      <c r="C58" s="3" t="str">
        <f>_xlfn.XLOOKUP(Table_LuT_Begroting_Deelnemers[[#This Row],[ID Deelnemer]],Table_LuT_Deelnemers[ID Deelnemer],Table_LuT_Deelnemers[Verkorte Referentienaam Deelnemer],"&lt;Not in LuT&gt;",0,1)</f>
        <v>DN17</v>
      </c>
      <c r="D58" s="3" t="str">
        <f>Table_LuT_Begroting_Deelnemers[[#This Row],[ID Deelnemer]]&amp;" # "&amp;Table_LuT_Begroting_Deelnemers[[#This Row],[FO | IO | EO]]</f>
        <v>Deelnemer 17 # EO</v>
      </c>
      <c r="E58" s="3" t="b" cm="1">
        <f t="array" aca="1" ref="E58" ca="1">_xlfn.XLOOKUP(Table_LuT_Begroting_Deelnemers[[#This Row],[ID Deelnemer]],Table_LuT_Deelnemers[ID Deelnemer],INDIRECT("Table_LuT_Deelnemers["&amp;E$1&amp;"]"),"&lt;Not in LuT&gt;",0,1)</f>
        <v>0</v>
      </c>
      <c r="F58" s="3" t="b" cm="1">
        <f t="array" aca="1" ref="F58" ca="1">_xlfn.XLOOKUP(Table_LuT_Begroting_Deelnemers[[#This Row],[ID Deelnemer]],Table_LuT_Deelnemers[ID Deelnemer],INDIRECT("Table_LuT_Deelnemers["&amp;F$1&amp;"]"),"&lt;Not in LuT&gt;",0,1)</f>
        <v>0</v>
      </c>
      <c r="G58" s="3" t="b" cm="1">
        <f t="array" aca="1" ref="G58" ca="1">_xlfn.XLOOKUP(Table_LuT_Begroting_Deelnemers[[#This Row],[ID Deelnemer]],Table_LuT_Deelnemers[ID Deelnemer],INDIRECT("Table_LuT_Deelnemers["&amp;G$1&amp;"]"),"&lt;Not in LuT&gt;",0,1)</f>
        <v>0</v>
      </c>
      <c r="H58" s="3" t="b" cm="1">
        <f t="array" ref="H58">Var_MKB_Consortium</f>
        <v>1</v>
      </c>
      <c r="I58" s="3" t="b">
        <f ca="1">Table_LuT_Begroting_Deelnemers[[#This Row],[Is OO?]]</f>
        <v>0</v>
      </c>
      <c r="J58" s="3" t="str" cm="1">
        <f t="array" aca="1" ref="J58" ca="1">_xlfn.XLOOKUP(Table_LuT_Begroting_Deelnemers[[#This Row],[ID Deelnemer]],Table_LuT_Deelnemers[ID Deelnemer],INDIRECT("Table_LuT_Deelnemers["&amp;J$1&amp;"]"),"&lt;Not in LuT&gt;",0,1)</f>
        <v/>
      </c>
      <c r="K58" s="3" t="str" cm="1">
        <f t="array" aca="1" ref="K58" ca="1">_xlfn.XLOOKUP(Table_LuT_Begroting_Deelnemers[[#This Row],[ID Deelnemer]],Table_LuT_Deelnemers[ID Deelnemer],INDIRECT("Table_LuT_Deelnemers["&amp;K$1&amp;"]"),"&lt;Not in LuT&gt;",0,1)</f>
        <v/>
      </c>
      <c r="L58" s="8" cm="1">
        <f t="array" aca="1" ref="L58" ca="1">INDIRECT("'"&amp;$A58&amp;"'!Kosten_"&amp;Table_LuT_Begroting_Deelnemers[[#This Row],[FO | IO | EO]])</f>
        <v>0</v>
      </c>
      <c r="M58" s="8" cm="1">
        <f t="array" aca="1" ref="M58" ca="1">_xlfn.LET(_xlpm.maxsub_aux,INDIRECT("'"&amp;$A58&amp;"'!Max_Subsidie_"&amp;Table_LuT_Begroting_Deelnemers[[#This Row],[FO | IO | EO]]),IF(Var_Sub.instr.="MKB",IF(Table_LuT_Begroting_Deelnemers[[#This Row],[Is MKB?]],MIN(_xlpm.maxsub_aux,Var_MaxSub_MKB_call_MKB),MIN(_xlpm.maxsub_aux,Var_MaxSub_MKB_call_OO)),_xlpm.maxsub_aux))</f>
        <v>0</v>
      </c>
      <c r="N58" s="8">
        <f ca="1">Table_LuT_Begroting_Deelnemers[[#This Row],[Kosten]]-Table_LuT_Begroting_Deelnemers[[#This Row],[Maximale Subsidie - HTSM]]</f>
        <v>0</v>
      </c>
      <c r="O58" s="387" cm="1">
        <f t="array" aca="1" ref="O58"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58" s="394">
        <f ca="1">Table_LuT_Begroting_Deelnemers[[#This Row],[Maximale Subsidie % - wettelijk]]*Table_LuT_Begroting_Deelnemers[[#This Row],[Kosten]]</f>
        <v>0</v>
      </c>
      <c r="Q58"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5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5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58" s="8">
        <f ca="1">Table_LuT_Begroting_Deelnemers[[#This Row],[Kosten OO]]-Table_LuT_Begroting_Deelnemers[[#This Row],[Maximale Subsidie OO - HTSM]]</f>
        <v>0</v>
      </c>
      <c r="U5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58"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5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5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58" s="8">
        <f ca="1">Table_LuT_Begroting_Deelnemers[[#This Row],[Kosten PP]]-Table_LuT_Begroting_Deelnemers[[#This Row],[Maximale Subsidie PP - HTSM]]</f>
        <v>0</v>
      </c>
      <c r="Z5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58"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5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5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58" s="8">
        <f ca="1">Table_LuT_Begroting_Deelnemers[[#This Row],[Kosten GB]]-Table_LuT_Begroting_Deelnemers[[#This Row],[Maximale Subsidie GB - HTSM]]</f>
        <v>0</v>
      </c>
      <c r="AE5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58"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58"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5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58" s="8">
        <f ca="1">Table_LuT_Begroting_Deelnemers[[#This Row],[Kosten MKB]]-Table_LuT_Begroting_Deelnemers[[#This Row],[Maximale Subsidie MKB - HTSM]]</f>
        <v>0</v>
      </c>
      <c r="AJ58"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58"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58" s="8">
        <f ca="1">MIN(Table_LuT_Begroting_Deelnemers[[#This Row],[Gegenereerde Subsidie - OO+MKB]],Table_LuT_Begroting_Deelnemers[[#This Row],[Maximale Subsidie OO - overheid]])</f>
        <v>0</v>
      </c>
      <c r="AM58" s="8" cm="1">
        <f t="array" aca="1" ref="AM58"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58" s="8" cm="1">
        <f t="array" aca="1" ref="AN58" ca="1">IF(Table_LuT_Begroting_Deelnemers[[#This Row],[FO | IO | EO]]="FO",INDIRECT("Cash_"&amp;Table_LuT_Begroting_Deelnemers[[#This Row],[Verkorte Referentienaam Deelnemer]]),0)</f>
        <v>0</v>
      </c>
      <c r="AO58" s="8" cm="1">
        <f t="array" aca="1" ref="AO58" ca="1">IF(Table_LuT_Begroting_Deelnemers[[#This Row],[FO | IO | EO]]="FO",INDIRECT("Cash_Ontvangen_"&amp;Table_LuT_Begroting_Deelnemers[[#This Row],[Verkorte Referentienaam Deelnemer]]),0)</f>
        <v>0</v>
      </c>
      <c r="AP58" s="8">
        <f ca="1">IF(Table_LuT_Begroting_Deelnemers[[#This Row],[Is OO?]],Table_LuT_Begroting_Deelnemers[[#This Row],[Cash Ontvangen]],0)</f>
        <v>0</v>
      </c>
      <c r="AQ58" s="8" cm="1">
        <f t="array" aca="1" ref="AQ58" ca="1">IF(Table_LuT_Begroting_Deelnemers[[#This Row],[FO | IO | EO]]="FO",INDIRECT("In_kind_"&amp;Table_LuT_Begroting_Deelnemers[[#This Row],[Verkorte Referentienaam Deelnemer]]),0)</f>
        <v>0</v>
      </c>
      <c r="AR58" s="8" cm="1">
        <f t="array" aca="1" ref="AR58" ca="1">IF(Table_LuT_Begroting_Deelnemers[[#This Row],[FO | IO | EO]]="FO",INDIRECT("Overige_Subsidies_"&amp;Table_LuT_Begroting_Deelnemers[[#This Row],[Verkorte Referentienaam Deelnemer]]),0)</f>
        <v>0</v>
      </c>
      <c r="AS58" s="8" cm="1">
        <f t="array" aca="1" ref="AS58" ca="1">IF(Table_LuT_Begroting_Deelnemers[[#This Row],[FO | IO | EO]]="FO",INDIRECT("Subsidie_FO_"&amp;Table_LuT_Begroting_Deelnemers[[#This Row],[Verkorte Referentienaam Deelnemer]]),0)</f>
        <v>0</v>
      </c>
      <c r="AT58" s="8" cm="1">
        <f t="array" aca="1" ref="AT58" ca="1">IF(Table_LuT_Begroting_Deelnemers[[#This Row],[FO | IO | EO]]="IO",INDIRECT("Subsidie_IO_"&amp;Table_LuT_Begroting_Deelnemers[[#This Row],[Verkorte Referentienaam Deelnemer]]),0)</f>
        <v>0</v>
      </c>
      <c r="AU58" s="8" cm="1">
        <f t="array" aca="1" ref="AU58" ca="1">IF(Table_LuT_Begroting_Deelnemers[[#This Row],[FO | IO | EO]]="EO",INDIRECT("Subsidie_EO_"&amp;Table_LuT_Begroting_Deelnemers[[#This Row],[Verkorte Referentienaam Deelnemer]]),0)</f>
        <v>0</v>
      </c>
      <c r="AV58" s="8">
        <f ca="1">SUM(Table_LuT_Begroting_Deelnemers[[#This Row],[Gevraagde Subsidie FO]:[Gevraagde Subsidie EO]])</f>
        <v>0</v>
      </c>
      <c r="AW58" s="3"/>
      <c r="AX58" s="3"/>
      <c r="AY58" s="3"/>
      <c r="AZ58" s="3"/>
    </row>
    <row r="59" spans="1:52" ht="15" customHeight="1" x14ac:dyDescent="0.25">
      <c r="A59" s="2" t="s">
        <v>196</v>
      </c>
      <c r="B59" s="2" t="s">
        <v>83</v>
      </c>
      <c r="C59" s="3" t="str">
        <f>_xlfn.XLOOKUP(Table_LuT_Begroting_Deelnemers[[#This Row],[ID Deelnemer]],Table_LuT_Deelnemers[ID Deelnemer],Table_LuT_Deelnemers[Verkorte Referentienaam Deelnemer],"&lt;Not in LuT&gt;",0,1)</f>
        <v>DN18</v>
      </c>
      <c r="D59" s="3" t="str">
        <f>Table_LuT_Begroting_Deelnemers[[#This Row],[ID Deelnemer]]&amp;" # "&amp;Table_LuT_Begroting_Deelnemers[[#This Row],[FO | IO | EO]]</f>
        <v>Deelnemer 18 # EO</v>
      </c>
      <c r="E59" s="3" t="b" cm="1">
        <f t="array" aca="1" ref="E59" ca="1">_xlfn.XLOOKUP(Table_LuT_Begroting_Deelnemers[[#This Row],[ID Deelnemer]],Table_LuT_Deelnemers[ID Deelnemer],INDIRECT("Table_LuT_Deelnemers["&amp;E$1&amp;"]"),"&lt;Not in LuT&gt;",0,1)</f>
        <v>0</v>
      </c>
      <c r="F59" s="3" t="b" cm="1">
        <f t="array" aca="1" ref="F59" ca="1">_xlfn.XLOOKUP(Table_LuT_Begroting_Deelnemers[[#This Row],[ID Deelnemer]],Table_LuT_Deelnemers[ID Deelnemer],INDIRECT("Table_LuT_Deelnemers["&amp;F$1&amp;"]"),"&lt;Not in LuT&gt;",0,1)</f>
        <v>0</v>
      </c>
      <c r="G59" s="3" t="b" cm="1">
        <f t="array" aca="1" ref="G59" ca="1">_xlfn.XLOOKUP(Table_LuT_Begroting_Deelnemers[[#This Row],[ID Deelnemer]],Table_LuT_Deelnemers[ID Deelnemer],INDIRECT("Table_LuT_Deelnemers["&amp;G$1&amp;"]"),"&lt;Not in LuT&gt;",0,1)</f>
        <v>0</v>
      </c>
      <c r="H59" s="3" t="b" cm="1">
        <f t="array" ref="H59">Var_MKB_Consortium</f>
        <v>1</v>
      </c>
      <c r="I59" s="3" t="b">
        <f ca="1">Table_LuT_Begroting_Deelnemers[[#This Row],[Is OO?]]</f>
        <v>0</v>
      </c>
      <c r="J59" s="3" t="str" cm="1">
        <f t="array" aca="1" ref="J59" ca="1">_xlfn.XLOOKUP(Table_LuT_Begroting_Deelnemers[[#This Row],[ID Deelnemer]],Table_LuT_Deelnemers[ID Deelnemer],INDIRECT("Table_LuT_Deelnemers["&amp;J$1&amp;"]"),"&lt;Not in LuT&gt;",0,1)</f>
        <v/>
      </c>
      <c r="K59" s="3" t="str" cm="1">
        <f t="array" aca="1" ref="K59" ca="1">_xlfn.XLOOKUP(Table_LuT_Begroting_Deelnemers[[#This Row],[ID Deelnemer]],Table_LuT_Deelnemers[ID Deelnemer],INDIRECT("Table_LuT_Deelnemers["&amp;K$1&amp;"]"),"&lt;Not in LuT&gt;",0,1)</f>
        <v/>
      </c>
      <c r="L59" s="8" cm="1">
        <f t="array" aca="1" ref="L59" ca="1">INDIRECT("'"&amp;$A59&amp;"'!Kosten_"&amp;Table_LuT_Begroting_Deelnemers[[#This Row],[FO | IO | EO]])</f>
        <v>0</v>
      </c>
      <c r="M59" s="8" cm="1">
        <f t="array" aca="1" ref="M59" ca="1">_xlfn.LET(_xlpm.maxsub_aux,INDIRECT("'"&amp;$A59&amp;"'!Max_Subsidie_"&amp;Table_LuT_Begroting_Deelnemers[[#This Row],[FO | IO | EO]]),IF(Var_Sub.instr.="MKB",IF(Table_LuT_Begroting_Deelnemers[[#This Row],[Is MKB?]],MIN(_xlpm.maxsub_aux,Var_MaxSub_MKB_call_MKB),MIN(_xlpm.maxsub_aux,Var_MaxSub_MKB_call_OO)),_xlpm.maxsub_aux))</f>
        <v>0</v>
      </c>
      <c r="N59" s="8">
        <f ca="1">Table_LuT_Begroting_Deelnemers[[#This Row],[Kosten]]-Table_LuT_Begroting_Deelnemers[[#This Row],[Maximale Subsidie - HTSM]]</f>
        <v>0</v>
      </c>
      <c r="O59" s="387" cm="1">
        <f t="array" aca="1" ref="O59"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59" s="394">
        <f ca="1">Table_LuT_Begroting_Deelnemers[[#This Row],[Maximale Subsidie % - wettelijk]]*Table_LuT_Begroting_Deelnemers[[#This Row],[Kosten]]</f>
        <v>0</v>
      </c>
      <c r="Q59"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5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5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59" s="8">
        <f ca="1">Table_LuT_Begroting_Deelnemers[[#This Row],[Kosten OO]]-Table_LuT_Begroting_Deelnemers[[#This Row],[Maximale Subsidie OO - HTSM]]</f>
        <v>0</v>
      </c>
      <c r="U5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59"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5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5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59" s="8">
        <f ca="1">Table_LuT_Begroting_Deelnemers[[#This Row],[Kosten PP]]-Table_LuT_Begroting_Deelnemers[[#This Row],[Maximale Subsidie PP - HTSM]]</f>
        <v>0</v>
      </c>
      <c r="Z5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59"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5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5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59" s="8">
        <f ca="1">Table_LuT_Begroting_Deelnemers[[#This Row],[Kosten GB]]-Table_LuT_Begroting_Deelnemers[[#This Row],[Maximale Subsidie GB - HTSM]]</f>
        <v>0</v>
      </c>
      <c r="AE5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59"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59"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5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59" s="8">
        <f ca="1">Table_LuT_Begroting_Deelnemers[[#This Row],[Kosten MKB]]-Table_LuT_Begroting_Deelnemers[[#This Row],[Maximale Subsidie MKB - HTSM]]</f>
        <v>0</v>
      </c>
      <c r="AJ59"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59"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59" s="8">
        <f ca="1">MIN(Table_LuT_Begroting_Deelnemers[[#This Row],[Gegenereerde Subsidie - OO+MKB]],Table_LuT_Begroting_Deelnemers[[#This Row],[Maximale Subsidie OO - overheid]])</f>
        <v>0</v>
      </c>
      <c r="AM59" s="8" cm="1">
        <f t="array" aca="1" ref="AM59"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59" s="8" cm="1">
        <f t="array" aca="1" ref="AN59" ca="1">IF(Table_LuT_Begroting_Deelnemers[[#This Row],[FO | IO | EO]]="FO",INDIRECT("Cash_"&amp;Table_LuT_Begroting_Deelnemers[[#This Row],[Verkorte Referentienaam Deelnemer]]),0)</f>
        <v>0</v>
      </c>
      <c r="AO59" s="8" cm="1">
        <f t="array" aca="1" ref="AO59" ca="1">IF(Table_LuT_Begroting_Deelnemers[[#This Row],[FO | IO | EO]]="FO",INDIRECT("Cash_Ontvangen_"&amp;Table_LuT_Begroting_Deelnemers[[#This Row],[Verkorte Referentienaam Deelnemer]]),0)</f>
        <v>0</v>
      </c>
      <c r="AP59" s="8">
        <f ca="1">IF(Table_LuT_Begroting_Deelnemers[[#This Row],[Is OO?]],Table_LuT_Begroting_Deelnemers[[#This Row],[Cash Ontvangen]],0)</f>
        <v>0</v>
      </c>
      <c r="AQ59" s="8" cm="1">
        <f t="array" aca="1" ref="AQ59" ca="1">IF(Table_LuT_Begroting_Deelnemers[[#This Row],[FO | IO | EO]]="FO",INDIRECT("In_kind_"&amp;Table_LuT_Begroting_Deelnemers[[#This Row],[Verkorte Referentienaam Deelnemer]]),0)</f>
        <v>0</v>
      </c>
      <c r="AR59" s="8" cm="1">
        <f t="array" aca="1" ref="AR59" ca="1">IF(Table_LuT_Begroting_Deelnemers[[#This Row],[FO | IO | EO]]="FO",INDIRECT("Overige_Subsidies_"&amp;Table_LuT_Begroting_Deelnemers[[#This Row],[Verkorte Referentienaam Deelnemer]]),0)</f>
        <v>0</v>
      </c>
      <c r="AS59" s="8" cm="1">
        <f t="array" aca="1" ref="AS59" ca="1">IF(Table_LuT_Begroting_Deelnemers[[#This Row],[FO | IO | EO]]="FO",INDIRECT("Subsidie_FO_"&amp;Table_LuT_Begroting_Deelnemers[[#This Row],[Verkorte Referentienaam Deelnemer]]),0)</f>
        <v>0</v>
      </c>
      <c r="AT59" s="8" cm="1">
        <f t="array" aca="1" ref="AT59" ca="1">IF(Table_LuT_Begroting_Deelnemers[[#This Row],[FO | IO | EO]]="IO",INDIRECT("Subsidie_IO_"&amp;Table_LuT_Begroting_Deelnemers[[#This Row],[Verkorte Referentienaam Deelnemer]]),0)</f>
        <v>0</v>
      </c>
      <c r="AU59" s="8" cm="1">
        <f t="array" aca="1" ref="AU59" ca="1">IF(Table_LuT_Begroting_Deelnemers[[#This Row],[FO | IO | EO]]="EO",INDIRECT("Subsidie_EO_"&amp;Table_LuT_Begroting_Deelnemers[[#This Row],[Verkorte Referentienaam Deelnemer]]),0)</f>
        <v>0</v>
      </c>
      <c r="AV59" s="8">
        <f ca="1">SUM(Table_LuT_Begroting_Deelnemers[[#This Row],[Gevraagde Subsidie FO]:[Gevraagde Subsidie EO]])</f>
        <v>0</v>
      </c>
      <c r="AW59" s="3"/>
      <c r="AX59" s="3"/>
      <c r="AY59" s="3"/>
      <c r="AZ59" s="3"/>
    </row>
    <row r="60" spans="1:52" ht="15" customHeight="1" x14ac:dyDescent="0.25">
      <c r="A60" s="2" t="s">
        <v>197</v>
      </c>
      <c r="B60" s="2" t="s">
        <v>83</v>
      </c>
      <c r="C60" s="3" t="str">
        <f>_xlfn.XLOOKUP(Table_LuT_Begroting_Deelnemers[[#This Row],[ID Deelnemer]],Table_LuT_Deelnemers[ID Deelnemer],Table_LuT_Deelnemers[Verkorte Referentienaam Deelnemer],"&lt;Not in LuT&gt;",0,1)</f>
        <v>DN19</v>
      </c>
      <c r="D60" s="3" t="str">
        <f>Table_LuT_Begroting_Deelnemers[[#This Row],[ID Deelnemer]]&amp;" # "&amp;Table_LuT_Begroting_Deelnemers[[#This Row],[FO | IO | EO]]</f>
        <v>Deelnemer 19 # EO</v>
      </c>
      <c r="E60" s="3" t="b" cm="1">
        <f t="array" aca="1" ref="E60" ca="1">_xlfn.XLOOKUP(Table_LuT_Begroting_Deelnemers[[#This Row],[ID Deelnemer]],Table_LuT_Deelnemers[ID Deelnemer],INDIRECT("Table_LuT_Deelnemers["&amp;E$1&amp;"]"),"&lt;Not in LuT&gt;",0,1)</f>
        <v>0</v>
      </c>
      <c r="F60" s="3" t="b" cm="1">
        <f t="array" aca="1" ref="F60" ca="1">_xlfn.XLOOKUP(Table_LuT_Begroting_Deelnemers[[#This Row],[ID Deelnemer]],Table_LuT_Deelnemers[ID Deelnemer],INDIRECT("Table_LuT_Deelnemers["&amp;F$1&amp;"]"),"&lt;Not in LuT&gt;",0,1)</f>
        <v>0</v>
      </c>
      <c r="G60" s="3" t="b" cm="1">
        <f t="array" aca="1" ref="G60" ca="1">_xlfn.XLOOKUP(Table_LuT_Begroting_Deelnemers[[#This Row],[ID Deelnemer]],Table_LuT_Deelnemers[ID Deelnemer],INDIRECT("Table_LuT_Deelnemers["&amp;G$1&amp;"]"),"&lt;Not in LuT&gt;",0,1)</f>
        <v>0</v>
      </c>
      <c r="H60" s="3" t="b" cm="1">
        <f t="array" ref="H60">Var_MKB_Consortium</f>
        <v>1</v>
      </c>
      <c r="I60" s="3" t="b">
        <f ca="1">Table_LuT_Begroting_Deelnemers[[#This Row],[Is OO?]]</f>
        <v>0</v>
      </c>
      <c r="J60" s="3" t="str" cm="1">
        <f t="array" aca="1" ref="J60" ca="1">_xlfn.XLOOKUP(Table_LuT_Begroting_Deelnemers[[#This Row],[ID Deelnemer]],Table_LuT_Deelnemers[ID Deelnemer],INDIRECT("Table_LuT_Deelnemers["&amp;J$1&amp;"]"),"&lt;Not in LuT&gt;",0,1)</f>
        <v/>
      </c>
      <c r="K60" s="3" t="str" cm="1">
        <f t="array" aca="1" ref="K60" ca="1">_xlfn.XLOOKUP(Table_LuT_Begroting_Deelnemers[[#This Row],[ID Deelnemer]],Table_LuT_Deelnemers[ID Deelnemer],INDIRECT("Table_LuT_Deelnemers["&amp;K$1&amp;"]"),"&lt;Not in LuT&gt;",0,1)</f>
        <v/>
      </c>
      <c r="L60" s="8" cm="1">
        <f t="array" aca="1" ref="L60" ca="1">INDIRECT("'"&amp;$A60&amp;"'!Kosten_"&amp;Table_LuT_Begroting_Deelnemers[[#This Row],[FO | IO | EO]])</f>
        <v>0</v>
      </c>
      <c r="M60" s="8" cm="1">
        <f t="array" aca="1" ref="M60" ca="1">_xlfn.LET(_xlpm.maxsub_aux,INDIRECT("'"&amp;$A60&amp;"'!Max_Subsidie_"&amp;Table_LuT_Begroting_Deelnemers[[#This Row],[FO | IO | EO]]),IF(Var_Sub.instr.="MKB",IF(Table_LuT_Begroting_Deelnemers[[#This Row],[Is MKB?]],MIN(_xlpm.maxsub_aux,Var_MaxSub_MKB_call_MKB),MIN(_xlpm.maxsub_aux,Var_MaxSub_MKB_call_OO)),_xlpm.maxsub_aux))</f>
        <v>0</v>
      </c>
      <c r="N60" s="8">
        <f ca="1">Table_LuT_Begroting_Deelnemers[[#This Row],[Kosten]]-Table_LuT_Begroting_Deelnemers[[#This Row],[Maximale Subsidie - HTSM]]</f>
        <v>0</v>
      </c>
      <c r="O60" s="387" cm="1">
        <f t="array" aca="1" ref="O60"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60" s="394">
        <f ca="1">Table_LuT_Begroting_Deelnemers[[#This Row],[Maximale Subsidie % - wettelijk]]*Table_LuT_Begroting_Deelnemers[[#This Row],[Kosten]]</f>
        <v>0</v>
      </c>
      <c r="Q60"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6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6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60" s="8">
        <f ca="1">Table_LuT_Begroting_Deelnemers[[#This Row],[Kosten OO]]-Table_LuT_Begroting_Deelnemers[[#This Row],[Maximale Subsidie OO - HTSM]]</f>
        <v>0</v>
      </c>
      <c r="U6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60"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6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6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60" s="8">
        <f ca="1">Table_LuT_Begroting_Deelnemers[[#This Row],[Kosten PP]]-Table_LuT_Begroting_Deelnemers[[#This Row],[Maximale Subsidie PP - HTSM]]</f>
        <v>0</v>
      </c>
      <c r="Z6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60"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6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6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60" s="8">
        <f ca="1">Table_LuT_Begroting_Deelnemers[[#This Row],[Kosten GB]]-Table_LuT_Begroting_Deelnemers[[#This Row],[Maximale Subsidie GB - HTSM]]</f>
        <v>0</v>
      </c>
      <c r="AE6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60"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60"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6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60" s="8">
        <f ca="1">Table_LuT_Begroting_Deelnemers[[#This Row],[Kosten MKB]]-Table_LuT_Begroting_Deelnemers[[#This Row],[Maximale Subsidie MKB - HTSM]]</f>
        <v>0</v>
      </c>
      <c r="AJ60"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60"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60" s="8">
        <f ca="1">MIN(Table_LuT_Begroting_Deelnemers[[#This Row],[Gegenereerde Subsidie - OO+MKB]],Table_LuT_Begroting_Deelnemers[[#This Row],[Maximale Subsidie OO - overheid]])</f>
        <v>0</v>
      </c>
      <c r="AM60" s="8" cm="1">
        <f t="array" aca="1" ref="AM60"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60" s="8" cm="1">
        <f t="array" aca="1" ref="AN60" ca="1">IF(Table_LuT_Begroting_Deelnemers[[#This Row],[FO | IO | EO]]="FO",INDIRECT("Cash_"&amp;Table_LuT_Begroting_Deelnemers[[#This Row],[Verkorte Referentienaam Deelnemer]]),0)</f>
        <v>0</v>
      </c>
      <c r="AO60" s="8" cm="1">
        <f t="array" aca="1" ref="AO60" ca="1">IF(Table_LuT_Begroting_Deelnemers[[#This Row],[FO | IO | EO]]="FO",INDIRECT("Cash_Ontvangen_"&amp;Table_LuT_Begroting_Deelnemers[[#This Row],[Verkorte Referentienaam Deelnemer]]),0)</f>
        <v>0</v>
      </c>
      <c r="AP60" s="8">
        <f ca="1">IF(Table_LuT_Begroting_Deelnemers[[#This Row],[Is OO?]],Table_LuT_Begroting_Deelnemers[[#This Row],[Cash Ontvangen]],0)</f>
        <v>0</v>
      </c>
      <c r="AQ60" s="8" cm="1">
        <f t="array" aca="1" ref="AQ60" ca="1">IF(Table_LuT_Begroting_Deelnemers[[#This Row],[FO | IO | EO]]="FO",INDIRECT("In_kind_"&amp;Table_LuT_Begroting_Deelnemers[[#This Row],[Verkorte Referentienaam Deelnemer]]),0)</f>
        <v>0</v>
      </c>
      <c r="AR60" s="8" cm="1">
        <f t="array" aca="1" ref="AR60" ca="1">IF(Table_LuT_Begroting_Deelnemers[[#This Row],[FO | IO | EO]]="FO",INDIRECT("Overige_Subsidies_"&amp;Table_LuT_Begroting_Deelnemers[[#This Row],[Verkorte Referentienaam Deelnemer]]),0)</f>
        <v>0</v>
      </c>
      <c r="AS60" s="8" cm="1">
        <f t="array" aca="1" ref="AS60" ca="1">IF(Table_LuT_Begroting_Deelnemers[[#This Row],[FO | IO | EO]]="FO",INDIRECT("Subsidie_FO_"&amp;Table_LuT_Begroting_Deelnemers[[#This Row],[Verkorte Referentienaam Deelnemer]]),0)</f>
        <v>0</v>
      </c>
      <c r="AT60" s="8" cm="1">
        <f t="array" aca="1" ref="AT60" ca="1">IF(Table_LuT_Begroting_Deelnemers[[#This Row],[FO | IO | EO]]="IO",INDIRECT("Subsidie_IO_"&amp;Table_LuT_Begroting_Deelnemers[[#This Row],[Verkorte Referentienaam Deelnemer]]),0)</f>
        <v>0</v>
      </c>
      <c r="AU60" s="8" cm="1">
        <f t="array" aca="1" ref="AU60" ca="1">IF(Table_LuT_Begroting_Deelnemers[[#This Row],[FO | IO | EO]]="EO",INDIRECT("Subsidie_EO_"&amp;Table_LuT_Begroting_Deelnemers[[#This Row],[Verkorte Referentienaam Deelnemer]]),0)</f>
        <v>0</v>
      </c>
      <c r="AV60" s="8">
        <f ca="1">SUM(Table_LuT_Begroting_Deelnemers[[#This Row],[Gevraagde Subsidie FO]:[Gevraagde Subsidie EO]])</f>
        <v>0</v>
      </c>
      <c r="AW60" s="3"/>
      <c r="AX60" s="3"/>
      <c r="AY60" s="3"/>
      <c r="AZ60" s="3"/>
    </row>
    <row r="61" spans="1:52" ht="15" customHeight="1" x14ac:dyDescent="0.25">
      <c r="A61" s="2" t="s">
        <v>198</v>
      </c>
      <c r="B61" s="2" t="s">
        <v>83</v>
      </c>
      <c r="C61" s="3" t="str">
        <f>_xlfn.XLOOKUP(Table_LuT_Begroting_Deelnemers[[#This Row],[ID Deelnemer]],Table_LuT_Deelnemers[ID Deelnemer],Table_LuT_Deelnemers[Verkorte Referentienaam Deelnemer],"&lt;Not in LuT&gt;",0,1)</f>
        <v>DN20</v>
      </c>
      <c r="D61" s="3" t="str">
        <f>Table_LuT_Begroting_Deelnemers[[#This Row],[ID Deelnemer]]&amp;" # "&amp;Table_LuT_Begroting_Deelnemers[[#This Row],[FO | IO | EO]]</f>
        <v>Deelnemer 20 # EO</v>
      </c>
      <c r="E61" s="3" t="b" cm="1">
        <f t="array" aca="1" ref="E61" ca="1">_xlfn.XLOOKUP(Table_LuT_Begroting_Deelnemers[[#This Row],[ID Deelnemer]],Table_LuT_Deelnemers[ID Deelnemer],INDIRECT("Table_LuT_Deelnemers["&amp;E$1&amp;"]"),"&lt;Not in LuT&gt;",0,1)</f>
        <v>0</v>
      </c>
      <c r="F61" s="3" t="b" cm="1">
        <f t="array" aca="1" ref="F61" ca="1">_xlfn.XLOOKUP(Table_LuT_Begroting_Deelnemers[[#This Row],[ID Deelnemer]],Table_LuT_Deelnemers[ID Deelnemer],INDIRECT("Table_LuT_Deelnemers["&amp;F$1&amp;"]"),"&lt;Not in LuT&gt;",0,1)</f>
        <v>0</v>
      </c>
      <c r="G61" s="3" t="b" cm="1">
        <f t="array" aca="1" ref="G61" ca="1">_xlfn.XLOOKUP(Table_LuT_Begroting_Deelnemers[[#This Row],[ID Deelnemer]],Table_LuT_Deelnemers[ID Deelnemer],INDIRECT("Table_LuT_Deelnemers["&amp;G$1&amp;"]"),"&lt;Not in LuT&gt;",0,1)</f>
        <v>0</v>
      </c>
      <c r="H61" s="3" t="b" cm="1">
        <f t="array" ref="H61">Var_MKB_Consortium</f>
        <v>1</v>
      </c>
      <c r="I61" s="3" t="b">
        <f ca="1">Table_LuT_Begroting_Deelnemers[[#This Row],[Is OO?]]</f>
        <v>0</v>
      </c>
      <c r="J61" s="3" t="str" cm="1">
        <f t="array" aca="1" ref="J61" ca="1">_xlfn.XLOOKUP(Table_LuT_Begroting_Deelnemers[[#This Row],[ID Deelnemer]],Table_LuT_Deelnemers[ID Deelnemer],INDIRECT("Table_LuT_Deelnemers["&amp;J$1&amp;"]"),"&lt;Not in LuT&gt;",0,1)</f>
        <v/>
      </c>
      <c r="K61" s="3" t="str" cm="1">
        <f t="array" aca="1" ref="K61" ca="1">_xlfn.XLOOKUP(Table_LuT_Begroting_Deelnemers[[#This Row],[ID Deelnemer]],Table_LuT_Deelnemers[ID Deelnemer],INDIRECT("Table_LuT_Deelnemers["&amp;K$1&amp;"]"),"&lt;Not in LuT&gt;",0,1)</f>
        <v/>
      </c>
      <c r="L61" s="8" cm="1">
        <f t="array" aca="1" ref="L61" ca="1">INDIRECT("'"&amp;$A61&amp;"'!Kosten_"&amp;Table_LuT_Begroting_Deelnemers[[#This Row],[FO | IO | EO]])</f>
        <v>0</v>
      </c>
      <c r="M61" s="8" cm="1">
        <f t="array" aca="1" ref="M61" ca="1">_xlfn.LET(_xlpm.maxsub_aux,INDIRECT("'"&amp;$A61&amp;"'!Max_Subsidie_"&amp;Table_LuT_Begroting_Deelnemers[[#This Row],[FO | IO | EO]]),IF(Var_Sub.instr.="MKB",IF(Table_LuT_Begroting_Deelnemers[[#This Row],[Is MKB?]],MIN(_xlpm.maxsub_aux,Var_MaxSub_MKB_call_MKB),MIN(_xlpm.maxsub_aux,Var_MaxSub_MKB_call_OO)),_xlpm.maxsub_aux))</f>
        <v>0</v>
      </c>
      <c r="N61" s="8">
        <f ca="1">Table_LuT_Begroting_Deelnemers[[#This Row],[Kosten]]-Table_LuT_Begroting_Deelnemers[[#This Row],[Maximale Subsidie - HTSM]]</f>
        <v>0</v>
      </c>
      <c r="O61" s="387" cm="1">
        <f t="array" aca="1" ref="O61" ca="1">_xlfn.SWITCH(Table_LuT_Begroting_Deelnemers[[#This Row],[FO | IO | EO]],
"FO",_xlfn.XLOOKUP(Var_Sub.reg.&amp;" # "&amp;IF(Table_LuT_Begroting_Deelnemers[[#This Row],[Is OO of niet-economisch?]],"TRUE","FALSE")&amp;" # "&amp;IF(Table_LuT_Begroting_Deelnemers[[#This Row],[Is MKB?]],"TRUE","FALSE"),Table_Max_Subsidie_Overheid[Sub.reg. '# Is OO of niet-economisch? '# Is MKB?],Table_Max_Subsidie_Overheid[FO],"&lt;Not in LuT&gt;",0,1),
"IO",_xlfn.XLOOKUP(Var_Sub.reg.&amp;" # "&amp;IF(Table_LuT_Begroting_Deelnemers[[#This Row],[Is OO of niet-economisch?]],"TRUE","FALSE")&amp;" # "&amp;IF(Table_LuT_Begroting_Deelnemers[[#This Row],[Is MKB?]],"TRUE","FALSE"),Table_Max_Subsidie_Overheid[Sub.reg. '# Is OO of niet-economisch? '# Is MKB?],Table_Max_Subsidie_Overheid[IO],"&lt;Not in LuT&gt;",0,1),
"EO",_xlfn.XLOOKUP(Var_Sub.reg.&amp;" # "&amp;IF(Table_LuT_Begroting_Deelnemers[[#This Row],[Is OO of niet-economisch?]],"TRUE","FALSE")&amp;" # "&amp;IF(Table_LuT_Begroting_Deelnemers[[#This Row],[Is MKB?]],"TRUE","FALSE"),Table_Max_Subsidie_Overheid[Sub.reg. '# Is OO of niet-economisch? '# Is MKB?],Table_Max_Subsidie_Overheid[EO],"&lt;Not in LuT&gt;",0,1)
)</f>
        <v>0</v>
      </c>
      <c r="P61" s="394">
        <f ca="1">Table_LuT_Begroting_Deelnemers[[#This Row],[Maximale Subsidie % - wettelijk]]*Table_LuT_Begroting_Deelnemers[[#This Row],[Kosten]]</f>
        <v>0</v>
      </c>
      <c r="Q61" s="8">
        <f ca="1">SUMIFS(Table_LuT_Begroting_Deelnemers[Kosten],Table_LuT_Begroting_Deelnemers[ID Deelnemer],Table_LuT_Begroting_Deelnemers[[#This Row],[ID Deelnemer]],Table_LuT_Begroting_Deelnemers[FO | IO | EO],Table_LuT_Begroting_Deelnemers[[#This Row],[FO | IO | EO]],Table_LuT_Begroting_Deelnemers[Type Organisatie],"Onderzoeksorganisatie")</f>
        <v>0</v>
      </c>
      <c r="R6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Organisatie],"="&amp;"Onderzoeksorganisatie")</f>
        <v>0</v>
      </c>
      <c r="S6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T61" s="8">
        <f ca="1">Table_LuT_Begroting_Deelnemers[[#This Row],[Kosten OO]]-Table_LuT_Begroting_Deelnemers[[#This Row],[Maximale Subsidie OO - HTSM]]</f>
        <v>0</v>
      </c>
      <c r="U6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Organisatie],"Onderzoeksorganisatie")</f>
        <v>0</v>
      </c>
      <c r="V61"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f>
        <v>0</v>
      </c>
      <c r="W6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f>
        <v>0</v>
      </c>
      <c r="X6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f>
        <v>0</v>
      </c>
      <c r="Y61" s="8">
        <f ca="1">Table_LuT_Begroting_Deelnemers[[#This Row],[Kosten PP]]-Table_LuT_Begroting_Deelnemers[[#This Row],[Maximale Subsidie PP - HTSM]]</f>
        <v>0</v>
      </c>
      <c r="Z6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f>
        <v>0</v>
      </c>
      <c r="AA61" s="8">
        <f ca="1">SUMIFS(Table_LuT_Begroting_Deelnemers[Kosten],Table_LuT_Begroting_Deelnemers[ID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B6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C6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D61" s="8">
        <f ca="1">Table_LuT_Begroting_Deelnemers[[#This Row],[Kosten GB]]-Table_LuT_Begroting_Deelnemers[[#This Row],[Maximale Subsidie GB - HTSM]]</f>
        <v>0</v>
      </c>
      <c r="AE6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Organisatie],"&lt;&gt;"&amp;"Onderzoeksorganisatie",Table_LuT_Begroting_Deelnemers[Type Organisatie],"&lt;&gt;"&amp;"MKB")</f>
        <v>0</v>
      </c>
      <c r="AF61" s="8">
        <f ca="1">SUMIFS(Table_LuT_Begroting_Deelnemers[Kosten],Table_LuT_Begroting_Deelnemers[ID Deelnemer],Table_LuT_Begroting_Deelnemers[[#This Row],[ID Deelnemer]],Table_LuT_Begroting_Deelnemers[FO | IO | EO],Table_LuT_Begroting_Deelnemers[[#This Row],[FO | IO | EO]],Table_LuT_Begroting_Deelnemers[Type Organisatie],"="&amp;"MKB")</f>
        <v>0</v>
      </c>
      <c r="AG61" s="8">
        <f ca="1">SUMIFS(Table_LuT_Begroting_Deelnemers[Gevraagde Subsidie Totaal],Table_LuT_Begroting_Deelnemers[ID Deelnemer],Table_LuT_Begroting_Deelnemers[[#This Row],[ID Deelnemer]],Table_LuT_Begroting_Deelnemers[FO | IO | EO],Table_LuT_Begroting_Deelnemers[[#This Row],[FO | IO | EO]],Table_LuT_Begroting_Deelnemers[Type Organisatie],"="&amp;"MKB")</f>
        <v>0</v>
      </c>
      <c r="AH6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Organisatie],"="&amp;"MKB")</f>
        <v>0</v>
      </c>
      <c r="AI61" s="8">
        <f ca="1">Table_LuT_Begroting_Deelnemers[[#This Row],[Kosten MKB]]-Table_LuT_Begroting_Deelnemers[[#This Row],[Maximale Subsidie MKB - HTSM]]</f>
        <v>0</v>
      </c>
      <c r="AJ61" s="8">
        <f ca="1">SUMIFS(Table_LuT_Begroting_Deelnemers[Maximale Subsidie - overheid],Table_LuT_Begroting_Deelnemers[ID Deelnemer],Table_LuT_Begroting_Deelnemers[[#This Row],[ID Deelnemer]],Table_LuT_Begroting_Deelnemers[FO | IO | EO],Table_LuT_Begroting_Deelnemers[[#This Row],[FO | IO | EO]],Table_LuT_Begroting_Deelnemers[Type Organisatie],"="&amp;"MKB")</f>
        <v>0</v>
      </c>
      <c r="AK61" s="8">
        <f ca="1">SUMIFS(Table_LuT_Begroting_Deelnemers[Maximale Subsidie - HTSM],Table_LuT_Begroting_Deelnemers[ID Deelnemer],Table_LuT_Begroting_Deelnemers[[#This Row],[ID Deelnemer]],Table_LuT_Begroting_Deelnemers[FO | IO | EO],Table_LuT_Begroting_Deelnemers[[#This Row],[FO | IO | EO]],Table_LuT_Begroting_Deelnemers[Type Organisatie],"Onderzoeksorganisatie")</f>
        <v>0</v>
      </c>
      <c r="AL61" s="8">
        <f ca="1">MIN(Table_LuT_Begroting_Deelnemers[[#This Row],[Gegenereerde Subsidie - OO+MKB]],Table_LuT_Begroting_Deelnemers[[#This Row],[Maximale Subsidie OO - overheid]])</f>
        <v>0</v>
      </c>
      <c r="AM61" s="8" cm="1">
        <f t="array" aca="1" ref="AM61" ca="1">IF(Table_LuT_Begroting_Deelnemers[[#This Row],[Gevraagde Subsidie Totaal]]=0,0,_xlfn.XLOOKUP(Var_Sub.instr.&amp;" # "&amp;IF(Var_MKB_Consortium,"TRUE","FALSE"),Table_Min_Cash_CoF_HTSM[Sub.instr. '# MKB-Consortium],INDIRECT("Table_Min_Cash_CoF_HTSM["&amp;Table_LuT_Begroting_Deelnemers[[#This Row],[FO | IO | EO]]&amp;"]"),"&lt;Not in LuT&gt;",0,1)
*Table_LuT_Begroting_Deelnemers[[#This Row],[Kosten - Maximale Subsidie OO - HTSM]])</f>
        <v>0</v>
      </c>
      <c r="AN61" s="8" cm="1">
        <f t="array" aca="1" ref="AN61" ca="1">IF(Table_LuT_Begroting_Deelnemers[[#This Row],[FO | IO | EO]]="FO",INDIRECT("Cash_"&amp;Table_LuT_Begroting_Deelnemers[[#This Row],[Verkorte Referentienaam Deelnemer]]),0)</f>
        <v>0</v>
      </c>
      <c r="AO61" s="8" cm="1">
        <f t="array" aca="1" ref="AO61" ca="1">IF(Table_LuT_Begroting_Deelnemers[[#This Row],[FO | IO | EO]]="FO",INDIRECT("Cash_Ontvangen_"&amp;Table_LuT_Begroting_Deelnemers[[#This Row],[Verkorte Referentienaam Deelnemer]]),0)</f>
        <v>0</v>
      </c>
      <c r="AP61" s="8">
        <f ca="1">IF(Table_LuT_Begroting_Deelnemers[[#This Row],[Is OO?]],Table_LuT_Begroting_Deelnemers[[#This Row],[Cash Ontvangen]],0)</f>
        <v>0</v>
      </c>
      <c r="AQ61" s="8" cm="1">
        <f t="array" aca="1" ref="AQ61" ca="1">IF(Table_LuT_Begroting_Deelnemers[[#This Row],[FO | IO | EO]]="FO",INDIRECT("In_kind_"&amp;Table_LuT_Begroting_Deelnemers[[#This Row],[Verkorte Referentienaam Deelnemer]]),0)</f>
        <v>0</v>
      </c>
      <c r="AR61" s="8" cm="1">
        <f t="array" aca="1" ref="AR61" ca="1">IF(Table_LuT_Begroting_Deelnemers[[#This Row],[FO | IO | EO]]="FO",INDIRECT("Overige_Subsidies_"&amp;Table_LuT_Begroting_Deelnemers[[#This Row],[Verkorte Referentienaam Deelnemer]]),0)</f>
        <v>0</v>
      </c>
      <c r="AS61" s="8" cm="1">
        <f t="array" aca="1" ref="AS61" ca="1">IF(Table_LuT_Begroting_Deelnemers[[#This Row],[FO | IO | EO]]="FO",INDIRECT("Subsidie_FO_"&amp;Table_LuT_Begroting_Deelnemers[[#This Row],[Verkorte Referentienaam Deelnemer]]),0)</f>
        <v>0</v>
      </c>
      <c r="AT61" s="8" cm="1">
        <f t="array" aca="1" ref="AT61" ca="1">IF(Table_LuT_Begroting_Deelnemers[[#This Row],[FO | IO | EO]]="IO",INDIRECT("Subsidie_IO_"&amp;Table_LuT_Begroting_Deelnemers[[#This Row],[Verkorte Referentienaam Deelnemer]]),0)</f>
        <v>0</v>
      </c>
      <c r="AU61" s="8" cm="1">
        <f t="array" aca="1" ref="AU61" ca="1">IF(Table_LuT_Begroting_Deelnemers[[#This Row],[FO | IO | EO]]="EO",INDIRECT("Subsidie_EO_"&amp;Table_LuT_Begroting_Deelnemers[[#This Row],[Verkorte Referentienaam Deelnemer]]),0)</f>
        <v>0</v>
      </c>
      <c r="AV61" s="8">
        <f ca="1">SUM(Table_LuT_Begroting_Deelnemers[[#This Row],[Gevraagde Subsidie FO]:[Gevraagde Subsidie EO]])</f>
        <v>0</v>
      </c>
      <c r="AW61" s="3"/>
      <c r="AX61" s="3"/>
      <c r="AY61" s="3"/>
      <c r="AZ61" s="3"/>
    </row>
    <row r="62" spans="1:52" ht="15" customHeight="1" x14ac:dyDescent="0.25">
      <c r="A62" s="3" t="s">
        <v>137</v>
      </c>
      <c r="B62" s="3"/>
      <c r="E62" s="3"/>
      <c r="F62" s="3"/>
      <c r="G62" s="3"/>
      <c r="I62" s="3"/>
      <c r="J62" s="3"/>
      <c r="K62" s="3"/>
      <c r="L62" s="8">
        <f ca="1">SUBTOTAL(109,INDIRECT("Table_LuT_Begroting_Deelnemers["&amp;L$1&amp;"]"))</f>
        <v>0</v>
      </c>
      <c r="M62" s="8">
        <f ca="1">SUBTOTAL(109,INDIRECT("Table_LuT_Begroting_Deelnemers["&amp;M$1&amp;"]"))</f>
        <v>0</v>
      </c>
      <c r="N62" s="8">
        <f ca="1">SUBTOTAL(109,INDIRECT("Table_LuT_Begroting_Deelnemers["&amp;N$1&amp;"]"))</f>
        <v>0</v>
      </c>
      <c r="O62" s="390"/>
      <c r="P62" s="8">
        <f t="shared" ref="P62:AJ62" ca="1" si="0">SUBTOTAL(109,INDIRECT("Table_LuT_Begroting_Deelnemers["&amp;P$1&amp;"]"))</f>
        <v>0</v>
      </c>
      <c r="Q62" s="10">
        <f t="shared" ca="1" si="0"/>
        <v>0</v>
      </c>
      <c r="R62" s="10">
        <f t="shared" ca="1" si="0"/>
        <v>0</v>
      </c>
      <c r="S62" s="398">
        <f t="shared" ca="1" si="0"/>
        <v>0</v>
      </c>
      <c r="T62" s="398">
        <f t="shared" ca="1" si="0"/>
        <v>0</v>
      </c>
      <c r="U62" s="399">
        <f t="shared" ca="1" si="0"/>
        <v>0</v>
      </c>
      <c r="V62" s="338">
        <f t="shared" ca="1" si="0"/>
        <v>0</v>
      </c>
      <c r="W62" s="338">
        <f t="shared" ca="1" si="0"/>
        <v>0</v>
      </c>
      <c r="X62" s="401">
        <f t="shared" ca="1" si="0"/>
        <v>0</v>
      </c>
      <c r="Y62" s="401">
        <f t="shared" ca="1" si="0"/>
        <v>0</v>
      </c>
      <c r="Z62" s="402">
        <f t="shared" ca="1" si="0"/>
        <v>0</v>
      </c>
      <c r="AA62" s="403">
        <f t="shared" ca="1" si="0"/>
        <v>0</v>
      </c>
      <c r="AB62" s="403">
        <f t="shared" ca="1" si="0"/>
        <v>0</v>
      </c>
      <c r="AC62" s="404">
        <f t="shared" ca="1" si="0"/>
        <v>0</v>
      </c>
      <c r="AD62" s="404">
        <f t="shared" ca="1" si="0"/>
        <v>0</v>
      </c>
      <c r="AE62" s="405">
        <f t="shared" ca="1" si="0"/>
        <v>0</v>
      </c>
      <c r="AF62" s="406">
        <f t="shared" ca="1" si="0"/>
        <v>0</v>
      </c>
      <c r="AG62" s="406">
        <f t="shared" ca="1" si="0"/>
        <v>0</v>
      </c>
      <c r="AH62" s="407">
        <f t="shared" ca="1" si="0"/>
        <v>0</v>
      </c>
      <c r="AI62" s="407">
        <f t="shared" ca="1" si="0"/>
        <v>0</v>
      </c>
      <c r="AJ62" s="408">
        <f t="shared" ca="1" si="0"/>
        <v>0</v>
      </c>
      <c r="AK62" s="408">
        <f t="shared" ref="AK62:AL62" ca="1" si="1">SUBTOTAL(109,INDIRECT("Table_LuT_Begroting_Deelnemers["&amp;AK$1&amp;"]"))</f>
        <v>0</v>
      </c>
      <c r="AL62" s="408">
        <f t="shared" ca="1" si="1"/>
        <v>0</v>
      </c>
      <c r="AM62" s="8">
        <f t="shared" ref="AM62:AV62" ca="1" si="2">SUBTOTAL(109,INDIRECT("Table_LuT_Begroting_Deelnemers["&amp;AM$1&amp;"]"))</f>
        <v>0</v>
      </c>
      <c r="AN62" s="8">
        <f t="shared" ca="1" si="2"/>
        <v>0</v>
      </c>
      <c r="AO62" s="8">
        <f t="shared" ca="1" si="2"/>
        <v>0</v>
      </c>
      <c r="AP62" s="8">
        <f t="shared" ca="1" si="2"/>
        <v>0</v>
      </c>
      <c r="AQ62" s="8">
        <f t="shared" ca="1" si="2"/>
        <v>0</v>
      </c>
      <c r="AR62" s="8">
        <f t="shared" ca="1" si="2"/>
        <v>0</v>
      </c>
      <c r="AS62" s="8">
        <f t="shared" ca="1" si="2"/>
        <v>0</v>
      </c>
      <c r="AT62" s="8">
        <f t="shared" ca="1" si="2"/>
        <v>0</v>
      </c>
      <c r="AU62" s="8">
        <f t="shared" ca="1" si="2"/>
        <v>0</v>
      </c>
      <c r="AV62" s="8">
        <f t="shared" ca="1" si="2"/>
        <v>0</v>
      </c>
      <c r="AW62" s="3"/>
      <c r="AX62" s="3"/>
      <c r="AY62" s="3"/>
      <c r="AZ62" s="3"/>
    </row>
    <row r="65" spans="19:25" ht="15" customHeight="1" x14ac:dyDescent="0.25">
      <c r="S65" s="11"/>
      <c r="T65" s="11"/>
      <c r="U65" s="11"/>
      <c r="V65" s="11"/>
      <c r="W65" s="11"/>
      <c r="X65" s="11"/>
      <c r="Y65" s="11"/>
    </row>
  </sheetData>
  <sheetProtection algorithmName="SHA-512" hashValue="WLS/JYcW5NEaoJaAGwOGhlOTrFexsAyIkvrP9s3s0MkEdKit/pMK0fA1Ng0AYYMjRkDjdtAVeaXsui31ONe/bg==" saltValue="4AG4a2Txp4eM5LBEhR1XLA==" spinCount="100000" sheet="1" objects="1" scenarios="1" selectLockedCells="1"/>
  <phoneticPr fontId="15" type="noConversion"/>
  <printOptions gridLines="1"/>
  <pageMargins left="0.74803149606299213" right="0.74803149606299213" top="0.98425196850393704" bottom="0.98425196850393704" header="0.51181102362204722" footer="0.51181102362204722"/>
  <pageSetup paperSize="9" scale="39" orientation="portrait" horizontalDpi="4294967292" verticalDpi="300" r:id="rId1"/>
  <headerFooter alignWithMargins="0">
    <oddFooter>&amp;L&amp;8Erna Olislaegers
&amp;D at &amp;T&amp;C&amp;8&amp;P/&amp;N&amp;R&amp;8File: &amp;F
Sheet: &amp;A</oddFooter>
  </headerFooter>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B6DD6-677B-4182-BC2E-2BED9EE45FB3}">
  <sheetPr codeName="Sheet5">
    <tabColor theme="9"/>
    <pageSetUpPr fitToPage="1"/>
  </sheetPr>
  <dimension ref="A1:R63"/>
  <sheetViews>
    <sheetView showGridLines="0" zoomScale="85" zoomScaleNormal="85" workbookViewId="0">
      <selection activeCell="A2" sqref="A2"/>
    </sheetView>
  </sheetViews>
  <sheetFormatPr defaultRowHeight="15" customHeight="1" x14ac:dyDescent="0.2"/>
  <cols>
    <col min="1" max="1" width="31" style="206" bestFit="1" customWidth="1"/>
    <col min="2" max="2" width="16.140625" style="206" bestFit="1" customWidth="1"/>
    <col min="3" max="3" width="19.7109375" style="206" bestFit="1" customWidth="1"/>
    <col min="4" max="4" width="46.5703125" style="206" customWidth="1"/>
    <col min="5" max="5" width="44" style="206" customWidth="1"/>
    <col min="6" max="8" width="12.7109375" style="206" customWidth="1"/>
    <col min="9" max="9" width="9.140625" style="206"/>
    <col min="10" max="10" width="30.42578125" style="206" bestFit="1" customWidth="1"/>
    <col min="11" max="11" width="16.140625" style="206" bestFit="1" customWidth="1"/>
    <col min="12" max="12" width="13.85546875" style="206" bestFit="1" customWidth="1"/>
    <col min="13" max="13" width="12.7109375" style="206" customWidth="1"/>
    <col min="14" max="14" width="28.28515625" style="206" bestFit="1" customWidth="1"/>
    <col min="15" max="15" width="32.28515625" style="206" bestFit="1" customWidth="1"/>
    <col min="16" max="17" width="6.7109375" style="206" customWidth="1"/>
    <col min="18" max="16384" width="9.140625" style="206"/>
  </cols>
  <sheetData>
    <row r="1" spans="1:18" ht="30" customHeight="1" x14ac:dyDescent="0.2">
      <c r="D1" s="466" t="s">
        <v>143</v>
      </c>
      <c r="E1" s="466"/>
      <c r="F1" s="466"/>
      <c r="G1" s="466"/>
      <c r="H1" s="466"/>
      <c r="M1" s="468" t="s">
        <v>142</v>
      </c>
      <c r="N1" s="469"/>
      <c r="O1" s="469"/>
      <c r="P1" s="469"/>
      <c r="Q1" s="470"/>
    </row>
    <row r="2" spans="1:18" s="195" customFormat="1" ht="30" customHeight="1" x14ac:dyDescent="0.2">
      <c r="A2" s="193" t="s">
        <v>454</v>
      </c>
      <c r="B2" s="207" t="s">
        <v>171</v>
      </c>
      <c r="C2" s="194" t="s">
        <v>133</v>
      </c>
      <c r="D2" s="195" t="s">
        <v>170</v>
      </c>
      <c r="E2" s="193" t="s">
        <v>145</v>
      </c>
      <c r="F2" s="194" t="s">
        <v>81</v>
      </c>
      <c r="G2" s="194" t="s">
        <v>82</v>
      </c>
      <c r="H2" s="194" t="s">
        <v>83</v>
      </c>
      <c r="J2" s="389" t="s">
        <v>421</v>
      </c>
      <c r="K2" s="238" t="s">
        <v>146</v>
      </c>
      <c r="L2" s="239" t="s">
        <v>169</v>
      </c>
      <c r="M2" s="391" t="s">
        <v>133</v>
      </c>
      <c r="N2" s="231" t="s">
        <v>108</v>
      </c>
      <c r="O2" s="193" t="s">
        <v>145</v>
      </c>
      <c r="P2" s="194" t="s">
        <v>81</v>
      </c>
      <c r="Q2" s="194" t="s">
        <v>82</v>
      </c>
      <c r="R2" s="232" t="s">
        <v>83</v>
      </c>
    </row>
    <row r="3" spans="1:18" ht="15" customHeight="1" x14ac:dyDescent="0.2">
      <c r="A3" s="196" t="str">
        <f>Table_Max_Subsidie_HTSM[[#This Row],[Sub.instr.]]&amp;" # "&amp;Table_Max_Subsidie_HTSM[[#This Row],[Maximale subsidiepercentages van kosten Organisatie]]</f>
        <v>PPS-I SP # OO</v>
      </c>
      <c r="B3" s="196" t="str">
        <f>_xlfn.XLOOKUP(Table_Max_Subsidie_HTSM[[#This Row],[Subsidie-instrument]],Table_Sub.reg._Sub.instr.[Subsidie-instrument],Table_Sub.reg._Sub.instr.[Sub.instr.],"&lt;Not in LuT&gt;",0,1)</f>
        <v>PPS-I SP</v>
      </c>
      <c r="C3" s="197" t="b">
        <v>0</v>
      </c>
      <c r="D3" s="198" t="s">
        <v>173</v>
      </c>
      <c r="E3" s="199" t="s">
        <v>420</v>
      </c>
      <c r="F3" s="200">
        <v>0.8</v>
      </c>
      <c r="G3" s="200">
        <v>0.5</v>
      </c>
      <c r="H3" s="200">
        <v>0.25</v>
      </c>
      <c r="J3" s="242" t="str">
        <f>Table_Max_Subsidie_Overheid[[#This Row],[Sub.reg.]]&amp;" # "&amp;IF(Table_Max_Subsidie_Overheid[[#This Row],[Is OO of niet-economisch]],"TRUE","FALSE")&amp;" # "&amp;IF(Table_Max_Subsidie_Overheid[[#This Row],[Is MKB?]],"TRUE","FALSE")</f>
        <v>PPS-I # TRUE # FALSE</v>
      </c>
      <c r="K3" s="242" t="str">
        <f>_xlfn.XLOOKUP(Table_Max_Subsidie_Overheid[[#This Row],[Subsidieregeling]],Table_Sub.reg._Sub.instr.[Subsidieregeling],Table_Sub.reg._Sub.instr.[Sub.reg.],"&lt;NiL&gt;",0,1)</f>
        <v>PPS-I</v>
      </c>
      <c r="L3" s="393" t="b">
        <v>1</v>
      </c>
      <c r="M3" s="392" t="b">
        <v>0</v>
      </c>
      <c r="N3" s="233" t="s">
        <v>422</v>
      </c>
      <c r="O3" s="199" t="s">
        <v>180</v>
      </c>
      <c r="P3" s="200">
        <v>0.8</v>
      </c>
      <c r="Q3" s="200">
        <v>0.8</v>
      </c>
      <c r="R3" s="234">
        <v>0.8</v>
      </c>
    </row>
    <row r="4" spans="1:18" ht="15" customHeight="1" x14ac:dyDescent="0.2">
      <c r="A4" s="196" t="str">
        <f>Table_Max_Subsidie_HTSM[[#This Row],[Sub.instr.]]&amp;" # "&amp;Table_Max_Subsidie_HTSM[[#This Row],[Maximale subsidiepercentages van kosten Organisatie]]</f>
        <v>PPS-I SP # GB</v>
      </c>
      <c r="B4" s="196" t="str">
        <f>_xlfn.XLOOKUP(Table_Max_Subsidie_HTSM[[#This Row],[Subsidie-instrument]],Table_Sub.reg._Sub.instr.[Subsidie-instrument],Table_Sub.reg._Sub.instr.[Sub.instr.],"&lt;Not in LuT&gt;",0,1)</f>
        <v>PPS-I SP</v>
      </c>
      <c r="C4" s="197" t="b">
        <v>0</v>
      </c>
      <c r="D4" s="198" t="s">
        <v>173</v>
      </c>
      <c r="E4" s="199" t="s">
        <v>409</v>
      </c>
      <c r="F4" s="200">
        <v>0.8</v>
      </c>
      <c r="G4" s="200">
        <v>0.5</v>
      </c>
      <c r="H4" s="200">
        <v>0.25</v>
      </c>
      <c r="J4" s="242" t="str">
        <f>Table_Max_Subsidie_Overheid[[#This Row],[Sub.reg.]]&amp;" # "&amp;IF(Table_Max_Subsidie_Overheid[[#This Row],[Is OO of niet-economisch]],"TRUE","FALSE")&amp;" # "&amp;IF(Table_Max_Subsidie_Overheid[[#This Row],[Is MKB?]],"TRUE","FALSE")</f>
        <v>PPS-I # FALSE # FALSE</v>
      </c>
      <c r="K4" s="242" t="str">
        <f>_xlfn.XLOOKUP(Table_Max_Subsidie_Overheid[[#This Row],[Subsidieregeling]],Table_Sub.reg._Sub.instr.[Subsidieregeling],Table_Sub.reg._Sub.instr.[Sub.reg.],"&lt;NiL&gt;",0,1)</f>
        <v>PPS-I</v>
      </c>
      <c r="L4" s="393" t="b">
        <v>0</v>
      </c>
      <c r="M4" s="392" t="b">
        <v>0</v>
      </c>
      <c r="N4" s="233" t="s">
        <v>422</v>
      </c>
      <c r="O4" s="199" t="s">
        <v>8</v>
      </c>
      <c r="P4" s="200">
        <v>0.8</v>
      </c>
      <c r="Q4" s="200">
        <v>0.5</v>
      </c>
      <c r="R4" s="234">
        <v>0.25</v>
      </c>
    </row>
    <row r="5" spans="1:18" ht="15" customHeight="1" x14ac:dyDescent="0.2">
      <c r="A5" s="196" t="str">
        <f>Table_Max_Subsidie_HTSM[[#This Row],[Sub.instr.]]&amp;" # "&amp;Table_Max_Subsidie_HTSM[[#This Row],[Maximale subsidiepercentages van kosten Organisatie]]</f>
        <v>PPS-I SP # MKB</v>
      </c>
      <c r="B5" s="196" t="str">
        <f>_xlfn.XLOOKUP(Table_Max_Subsidie_HTSM[[#This Row],[Subsidie-instrument]],Table_Sub.reg._Sub.instr.[Subsidie-instrument],Table_Sub.reg._Sub.instr.[Sub.instr.],"&lt;Not in LuT&gt;",0,1)</f>
        <v>PPS-I SP</v>
      </c>
      <c r="C5" s="197" t="b">
        <v>1</v>
      </c>
      <c r="D5" s="198" t="s">
        <v>173</v>
      </c>
      <c r="E5" s="199" t="s">
        <v>6</v>
      </c>
      <c r="F5" s="200">
        <v>0.8</v>
      </c>
      <c r="G5" s="200">
        <v>0.6</v>
      </c>
      <c r="H5" s="200">
        <v>0.4</v>
      </c>
      <c r="J5" s="242" t="str">
        <f>Table_Max_Subsidie_Overheid[[#This Row],[Sub.reg.]]&amp;" # "&amp;IF(Table_Max_Subsidie_Overheid[[#This Row],[Is OO of niet-economisch]],"TRUE","FALSE")&amp;" # "&amp;IF(Table_Max_Subsidie_Overheid[[#This Row],[Is MKB?]],"TRUE","FALSE")</f>
        <v>PPS-I # FALSE # TRUE</v>
      </c>
      <c r="K5" s="242" t="str">
        <f>_xlfn.XLOOKUP(Table_Max_Subsidie_Overheid[[#This Row],[Subsidieregeling]],Table_Sub.reg._Sub.instr.[Subsidieregeling],Table_Sub.reg._Sub.instr.[Sub.reg.],"&lt;NiL&gt;",0,1)</f>
        <v>PPS-I</v>
      </c>
      <c r="L5" s="393" t="b">
        <v>0</v>
      </c>
      <c r="M5" s="392" t="b">
        <v>1</v>
      </c>
      <c r="N5" s="233" t="s">
        <v>422</v>
      </c>
      <c r="O5" s="199" t="s">
        <v>8</v>
      </c>
      <c r="P5" s="200">
        <v>0.8</v>
      </c>
      <c r="Q5" s="200">
        <v>0.6</v>
      </c>
      <c r="R5" s="234">
        <v>0.4</v>
      </c>
    </row>
    <row r="6" spans="1:18" ht="15" customHeight="1" x14ac:dyDescent="0.2">
      <c r="A6" s="196" t="str">
        <f>Table_Max_Subsidie_HTSM[[#This Row],[Sub.instr.]]&amp;" # "&amp;Table_Max_Subsidie_HTSM[[#This Row],[Maximale subsidiepercentages van kosten Organisatie]]</f>
        <v xml:space="preserve">PPS-I SP # </v>
      </c>
      <c r="B6" s="196" t="str">
        <f>_xlfn.XLOOKUP(Table_Max_Subsidie_HTSM[[#This Row],[Subsidie-instrument]],Table_Sub.reg._Sub.instr.[Subsidie-instrument],Table_Sub.reg._Sub.instr.[Sub.instr.],"&lt;Not in LuT&gt;",0,1)</f>
        <v>PPS-I SP</v>
      </c>
      <c r="C6" s="197" t="b">
        <v>1</v>
      </c>
      <c r="D6" s="198" t="s">
        <v>173</v>
      </c>
      <c r="E6" s="199"/>
      <c r="F6" s="200">
        <v>0</v>
      </c>
      <c r="G6" s="200">
        <v>0</v>
      </c>
      <c r="H6" s="200">
        <v>0</v>
      </c>
      <c r="J6" s="242" t="str">
        <f>Table_Max_Subsidie_Overheid[[#This Row],[Sub.reg.]]&amp;" # "&amp;IF(Table_Max_Subsidie_Overheid[[#This Row],[Is OO of niet-economisch]],"TRUE","FALSE")&amp;" # "&amp;IF(Table_Max_Subsidie_Overheid[[#This Row],[Is MKB?]],"TRUE","FALSE")</f>
        <v>PPS-PGT # TRUE # FALSE</v>
      </c>
      <c r="K6" s="242" t="str">
        <f>_xlfn.XLOOKUP(Table_Max_Subsidie_Overheid[[#This Row],[Subsidieregeling]],Table_Sub.reg._Sub.instr.[Subsidieregeling],Table_Sub.reg._Sub.instr.[Sub.reg.],"&lt;NiL&gt;",0,1)</f>
        <v>PPS-PGT</v>
      </c>
      <c r="L6" s="393" t="b">
        <v>1</v>
      </c>
      <c r="M6" s="392" t="b">
        <v>0</v>
      </c>
      <c r="N6" s="233" t="s">
        <v>423</v>
      </c>
      <c r="O6" s="199" t="s">
        <v>180</v>
      </c>
      <c r="P6" s="200">
        <v>1</v>
      </c>
      <c r="Q6" s="200">
        <v>1</v>
      </c>
      <c r="R6" s="234">
        <v>1</v>
      </c>
    </row>
    <row r="7" spans="1:18" ht="15" customHeight="1" x14ac:dyDescent="0.2">
      <c r="A7" s="196" t="str">
        <f>Table_Max_Subsidie_HTSM[[#This Row],[Sub.instr.]]&amp;" # "&amp;Table_Max_Subsidie_HTSM[[#This Row],[Maximale subsidiepercentages van kosten Organisatie]]</f>
        <v>PPS-I Flex # OO</v>
      </c>
      <c r="B7" s="196" t="str">
        <f>_xlfn.XLOOKUP(Table_Max_Subsidie_HTSM[[#This Row],[Subsidie-instrument]],Table_Sub.reg._Sub.instr.[Subsidie-instrument],Table_Sub.reg._Sub.instr.[Sub.instr.],"&lt;Not in LuT&gt;",0,1)</f>
        <v>PPS-I Flex</v>
      </c>
      <c r="C7" s="197" t="b">
        <v>0</v>
      </c>
      <c r="D7" s="198" t="s">
        <v>174</v>
      </c>
      <c r="E7" s="199" t="s">
        <v>420</v>
      </c>
      <c r="F7" s="200">
        <v>0.8</v>
      </c>
      <c r="G7" s="200">
        <v>0.5</v>
      </c>
      <c r="H7" s="200">
        <v>0.25</v>
      </c>
      <c r="J7" s="242" t="str">
        <f>Table_Max_Subsidie_Overheid[[#This Row],[Sub.reg.]]&amp;" # "&amp;IF(Table_Max_Subsidie_Overheid[[#This Row],[Is OO of niet-economisch]],"TRUE","FALSE")&amp;" # "&amp;IF(Table_Max_Subsidie_Overheid[[#This Row],[Is MKB?]],"TRUE","FALSE")</f>
        <v>PPS-PGT # FALSE # FALSE</v>
      </c>
      <c r="K7" s="242" t="str">
        <f>_xlfn.XLOOKUP(Table_Max_Subsidie_Overheid[[#This Row],[Subsidieregeling]],Table_Sub.reg._Sub.instr.[Subsidieregeling],Table_Sub.reg._Sub.instr.[Sub.reg.],"&lt;NiL&gt;",0,1)</f>
        <v>PPS-PGT</v>
      </c>
      <c r="L7" s="393" t="b">
        <v>0</v>
      </c>
      <c r="M7" s="392" t="b">
        <v>0</v>
      </c>
      <c r="N7" s="233" t="s">
        <v>423</v>
      </c>
      <c r="O7" s="199" t="s">
        <v>8</v>
      </c>
      <c r="P7" s="200">
        <v>1</v>
      </c>
      <c r="Q7" s="200">
        <v>0.5</v>
      </c>
      <c r="R7" s="234">
        <v>0.25</v>
      </c>
    </row>
    <row r="8" spans="1:18" ht="15" customHeight="1" x14ac:dyDescent="0.2">
      <c r="A8" s="196" t="str">
        <f>Table_Max_Subsidie_HTSM[[#This Row],[Sub.instr.]]&amp;" # "&amp;Table_Max_Subsidie_HTSM[[#This Row],[Maximale subsidiepercentages van kosten Organisatie]]</f>
        <v>PPS-I Flex # GB</v>
      </c>
      <c r="B8" s="196" t="str">
        <f>_xlfn.XLOOKUP(Table_Max_Subsidie_HTSM[[#This Row],[Subsidie-instrument]],Table_Sub.reg._Sub.instr.[Subsidie-instrument],Table_Sub.reg._Sub.instr.[Sub.instr.],"&lt;Not in LuT&gt;",0,1)</f>
        <v>PPS-I Flex</v>
      </c>
      <c r="C8" s="197" t="b">
        <v>0</v>
      </c>
      <c r="D8" s="198" t="s">
        <v>174</v>
      </c>
      <c r="E8" s="199" t="s">
        <v>409</v>
      </c>
      <c r="F8" s="200">
        <v>0.8</v>
      </c>
      <c r="G8" s="200">
        <v>0.5</v>
      </c>
      <c r="H8" s="200">
        <v>0.25</v>
      </c>
      <c r="J8" s="242" t="str">
        <f>Table_Max_Subsidie_Overheid[[#This Row],[Sub.reg.]]&amp;" # "&amp;IF(Table_Max_Subsidie_Overheid[[#This Row],[Is OO of niet-economisch]],"TRUE","FALSE")&amp;" # "&amp;IF(Table_Max_Subsidie_Overheid[[#This Row],[Is MKB?]],"TRUE","FALSE")</f>
        <v>PPS-PGT # FALSE # TRUE</v>
      </c>
      <c r="K8" s="242" t="str">
        <f>_xlfn.XLOOKUP(Table_Max_Subsidie_Overheid[[#This Row],[Subsidieregeling]],Table_Sub.reg._Sub.instr.[Subsidieregeling],Table_Sub.reg._Sub.instr.[Sub.reg.],"&lt;NiL&gt;",0,1)</f>
        <v>PPS-PGT</v>
      </c>
      <c r="L8" s="393" t="b">
        <v>0</v>
      </c>
      <c r="M8" s="392" t="b">
        <v>1</v>
      </c>
      <c r="N8" s="233" t="s">
        <v>423</v>
      </c>
      <c r="O8" s="199" t="s">
        <v>8</v>
      </c>
      <c r="P8" s="200">
        <v>1</v>
      </c>
      <c r="Q8" s="200">
        <v>0.5</v>
      </c>
      <c r="R8" s="234">
        <v>0.25</v>
      </c>
    </row>
    <row r="9" spans="1:18" ht="15" customHeight="1" x14ac:dyDescent="0.2">
      <c r="A9" s="196" t="str">
        <f>Table_Max_Subsidie_HTSM[[#This Row],[Sub.instr.]]&amp;" # "&amp;Table_Max_Subsidie_HTSM[[#This Row],[Maximale subsidiepercentages van kosten Organisatie]]</f>
        <v>PPS-I Flex # MKB</v>
      </c>
      <c r="B9" s="196" t="str">
        <f>_xlfn.XLOOKUP(Table_Max_Subsidie_HTSM[[#This Row],[Subsidie-instrument]],Table_Sub.reg._Sub.instr.[Subsidie-instrument],Table_Sub.reg._Sub.instr.[Sub.instr.],"&lt;Not in LuT&gt;",0,1)</f>
        <v>PPS-I Flex</v>
      </c>
      <c r="C9" s="197" t="b">
        <v>1</v>
      </c>
      <c r="D9" s="198" t="s">
        <v>174</v>
      </c>
      <c r="E9" s="199" t="s">
        <v>6</v>
      </c>
      <c r="F9" s="200">
        <v>0.8</v>
      </c>
      <c r="G9" s="200">
        <v>0.6</v>
      </c>
      <c r="H9" s="200">
        <v>0.4</v>
      </c>
      <c r="J9" s="242" t="str">
        <f>Table_Max_Subsidie_Overheid[[#This Row],[Sub.reg.]]&amp;" # "&amp;IF(Table_Max_Subsidie_Overheid[[#This Row],[Is OO of niet-economisch]],"TRUE","FALSE")&amp;" # "&amp;IF(Table_Max_Subsidie_Overheid[[#This Row],[Is MKB?]],"TRUE","FALSE")</f>
        <v>[Maak een keuze] # TRUE # FALSE</v>
      </c>
      <c r="K9" s="242" t="str">
        <f>_xlfn.XLOOKUP(Table_Max_Subsidie_Overheid[[#This Row],[Subsidieregeling]],Table_Sub.reg._Sub.instr.[Subsidieregeling],Table_Sub.reg._Sub.instr.[Sub.reg.],"&lt;NiL&gt;",0,1)</f>
        <v>[Maak een keuze]</v>
      </c>
      <c r="L9" s="393" t="b">
        <v>1</v>
      </c>
      <c r="M9" s="392" t="b">
        <v>0</v>
      </c>
      <c r="N9" s="235" t="s">
        <v>19</v>
      </c>
      <c r="O9" s="230" t="s">
        <v>180</v>
      </c>
      <c r="P9" s="229">
        <v>0</v>
      </c>
      <c r="Q9" s="229">
        <v>0</v>
      </c>
      <c r="R9" s="236">
        <v>0</v>
      </c>
    </row>
    <row r="10" spans="1:18" ht="15" customHeight="1" x14ac:dyDescent="0.2">
      <c r="A10" s="196" t="str">
        <f>Table_Max_Subsidie_HTSM[[#This Row],[Sub.instr.]]&amp;" # "&amp;Table_Max_Subsidie_HTSM[[#This Row],[Maximale subsidiepercentages van kosten Organisatie]]</f>
        <v xml:space="preserve">PPS-I Flex # </v>
      </c>
      <c r="B10" s="196" t="str">
        <f>_xlfn.XLOOKUP(Table_Max_Subsidie_HTSM[[#This Row],[Subsidie-instrument]],Table_Sub.reg._Sub.instr.[Subsidie-instrument],Table_Sub.reg._Sub.instr.[Sub.instr.],"&lt;Not in LuT&gt;",0,1)</f>
        <v>PPS-I Flex</v>
      </c>
      <c r="C10" s="197" t="b">
        <v>1</v>
      </c>
      <c r="D10" s="198" t="s">
        <v>174</v>
      </c>
      <c r="E10" s="199"/>
      <c r="F10" s="200">
        <v>0</v>
      </c>
      <c r="G10" s="200">
        <v>0</v>
      </c>
      <c r="H10" s="200">
        <v>0</v>
      </c>
      <c r="J10" s="242" t="str">
        <f>Table_Max_Subsidie_Overheid[[#This Row],[Sub.reg.]]&amp;" # "&amp;IF(Table_Max_Subsidie_Overheid[[#This Row],[Is OO of niet-economisch]],"TRUE","FALSE")&amp;" # "&amp;IF(Table_Max_Subsidie_Overheid[[#This Row],[Is MKB?]],"TRUE","FALSE")</f>
        <v>[Maak een keuze] # FALSE # FALSE</v>
      </c>
      <c r="K10" s="242" t="str">
        <f>_xlfn.XLOOKUP(Table_Max_Subsidie_Overheid[[#This Row],[Subsidieregeling]],Table_Sub.reg._Sub.instr.[Subsidieregeling],Table_Sub.reg._Sub.instr.[Sub.reg.],"&lt;NiL&gt;",0,1)</f>
        <v>[Maak een keuze]</v>
      </c>
      <c r="L10" s="393" t="b">
        <v>0</v>
      </c>
      <c r="M10" s="392" t="b">
        <v>0</v>
      </c>
      <c r="N10" s="235" t="s">
        <v>19</v>
      </c>
      <c r="O10" s="230" t="s">
        <v>8</v>
      </c>
      <c r="P10" s="229">
        <v>0</v>
      </c>
      <c r="Q10" s="229">
        <v>0</v>
      </c>
      <c r="R10" s="237">
        <v>0</v>
      </c>
    </row>
    <row r="11" spans="1:18" ht="15" customHeight="1" x14ac:dyDescent="0.2">
      <c r="A11" s="196" t="str">
        <f>Table_Max_Subsidie_HTSM[[#This Row],[Sub.instr.]]&amp;" # "&amp;Table_Max_Subsidie_HTSM[[#This Row],[Maximale subsidiepercentages van kosten Organisatie]]</f>
        <v>MKB # OO</v>
      </c>
      <c r="B11" s="196" t="str">
        <f>_xlfn.XLOOKUP(Table_Max_Subsidie_HTSM[[#This Row],[Subsidie-instrument]],Table_Sub.reg._Sub.instr.[Subsidie-instrument],Table_Sub.reg._Sub.instr.[Sub.instr.],"&lt;Not in LuT&gt;",0,1)</f>
        <v>MKB</v>
      </c>
      <c r="C11" s="201" t="b">
        <v>0</v>
      </c>
      <c r="D11" s="198" t="s">
        <v>460</v>
      </c>
      <c r="E11" s="199" t="s">
        <v>420</v>
      </c>
      <c r="F11" s="200">
        <v>0</v>
      </c>
      <c r="G11" s="200">
        <v>0.8</v>
      </c>
      <c r="H11" s="200">
        <v>0</v>
      </c>
      <c r="J11" s="242" t="str">
        <f>Table_Max_Subsidie_Overheid[[#This Row],[Sub.reg.]]&amp;" # "&amp;IF(Table_Max_Subsidie_Overheid[[#This Row],[Is OO of niet-economisch]],"TRUE","FALSE")&amp;" # "&amp;IF(Table_Max_Subsidie_Overheid[[#This Row],[Is MKB?]],"TRUE","FALSE")</f>
        <v>[Maak een keuze] # FALSE # TRUE</v>
      </c>
      <c r="K11" s="242" t="str">
        <f>_xlfn.XLOOKUP(Table_Max_Subsidie_Overheid[[#This Row],[Subsidieregeling]],Table_Sub.reg._Sub.instr.[Subsidieregeling],Table_Sub.reg._Sub.instr.[Sub.reg.],"&lt;NiL&gt;",0,1)</f>
        <v>[Maak een keuze]</v>
      </c>
      <c r="L11" s="393" t="b">
        <v>0</v>
      </c>
      <c r="M11" s="392" t="b">
        <v>1</v>
      </c>
      <c r="N11" s="235" t="s">
        <v>19</v>
      </c>
      <c r="O11" s="230" t="s">
        <v>8</v>
      </c>
      <c r="P11" s="229">
        <v>0</v>
      </c>
      <c r="Q11" s="229">
        <v>0</v>
      </c>
      <c r="R11" s="237">
        <v>0</v>
      </c>
    </row>
    <row r="12" spans="1:18" x14ac:dyDescent="0.2">
      <c r="A12" s="196" t="str">
        <f>Table_Max_Subsidie_HTSM[[#This Row],[Sub.instr.]]&amp;" # "&amp;Table_Max_Subsidie_HTSM[[#This Row],[Maximale subsidiepercentages van kosten Organisatie]]</f>
        <v>MKB # GB</v>
      </c>
      <c r="B12" s="196" t="str">
        <f>_xlfn.XLOOKUP(Table_Max_Subsidie_HTSM[[#This Row],[Subsidie-instrument]],Table_Sub.reg._Sub.instr.[Subsidie-instrument],Table_Sub.reg._Sub.instr.[Sub.instr.],"&lt;Not in LuT&gt;",0,1)</f>
        <v>MKB</v>
      </c>
      <c r="C12" s="201" t="b">
        <v>0</v>
      </c>
      <c r="D12" s="198" t="s">
        <v>460</v>
      </c>
      <c r="E12" s="199" t="s">
        <v>409</v>
      </c>
      <c r="F12" s="414">
        <v>0</v>
      </c>
      <c r="G12" s="414">
        <v>0</v>
      </c>
      <c r="H12" s="414">
        <v>0</v>
      </c>
    </row>
    <row r="13" spans="1:18" x14ac:dyDescent="0.2">
      <c r="A13" s="196" t="str">
        <f>Table_Max_Subsidie_HTSM[[#This Row],[Sub.instr.]]&amp;" # "&amp;Table_Max_Subsidie_HTSM[[#This Row],[Maximale subsidiepercentages van kosten Organisatie]]</f>
        <v>MKB # MKB</v>
      </c>
      <c r="B13" s="196" t="str">
        <f>_xlfn.XLOOKUP(Table_Max_Subsidie_HTSM[[#This Row],[Subsidie-instrument]],Table_Sub.reg._Sub.instr.[Subsidie-instrument],Table_Sub.reg._Sub.instr.[Sub.instr.],"&lt;Not in LuT&gt;",0,1)</f>
        <v>MKB</v>
      </c>
      <c r="C13" s="201" t="b">
        <v>1</v>
      </c>
      <c r="D13" s="198" t="s">
        <v>460</v>
      </c>
      <c r="E13" s="199" t="s">
        <v>6</v>
      </c>
      <c r="F13" s="200">
        <v>0</v>
      </c>
      <c r="G13" s="200">
        <v>0.5</v>
      </c>
      <c r="H13" s="200">
        <v>0</v>
      </c>
    </row>
    <row r="14" spans="1:18" x14ac:dyDescent="0.2">
      <c r="A14" s="196" t="str">
        <f>Table_Max_Subsidie_HTSM[[#This Row],[Sub.instr.]]&amp;" # "&amp;Table_Max_Subsidie_HTSM[[#This Row],[Maximale subsidiepercentages van kosten Organisatie]]</f>
        <v xml:space="preserve">MKB # </v>
      </c>
      <c r="B14" s="196" t="str">
        <f>_xlfn.XLOOKUP(Table_Max_Subsidie_HTSM[[#This Row],[Subsidie-instrument]],Table_Sub.reg._Sub.instr.[Subsidie-instrument],Table_Sub.reg._Sub.instr.[Sub.instr.],"&lt;Not in LuT&gt;",0,1)</f>
        <v>MKB</v>
      </c>
      <c r="C14" s="201" t="b">
        <v>1</v>
      </c>
      <c r="D14" s="198" t="s">
        <v>460</v>
      </c>
      <c r="E14" s="199"/>
      <c r="F14" s="200">
        <v>0</v>
      </c>
      <c r="G14" s="200">
        <v>0</v>
      </c>
      <c r="H14" s="200">
        <v>0</v>
      </c>
    </row>
    <row r="15" spans="1:18" x14ac:dyDescent="0.2">
      <c r="A15" s="196" t="str">
        <f>Table_Max_Subsidie_HTSM[[#This Row],[Sub.instr.]]&amp;" # "&amp;Table_Max_Subsidie_HTSM[[#This Row],[Maximale subsidiepercentages van kosten Organisatie]]</f>
        <v>MKB # OO</v>
      </c>
      <c r="B15" s="196" t="str">
        <f>_xlfn.XLOOKUP(Table_Max_Subsidie_HTSM[[#This Row],[Subsidie-instrument]],Table_Sub.reg._Sub.instr.[Subsidie-instrument],Table_Sub.reg._Sub.instr.[Sub.instr.],"&lt;Not in LuT&gt;",0,1)</f>
        <v>MKB</v>
      </c>
      <c r="C15" s="201" t="b">
        <v>0</v>
      </c>
      <c r="D15" s="198" t="s">
        <v>461</v>
      </c>
      <c r="E15" s="199" t="s">
        <v>420</v>
      </c>
      <c r="F15" s="200">
        <v>0</v>
      </c>
      <c r="G15" s="200">
        <v>0.8</v>
      </c>
      <c r="H15" s="200">
        <v>0</v>
      </c>
    </row>
    <row r="16" spans="1:18" ht="15" customHeight="1" x14ac:dyDescent="0.2">
      <c r="A16" s="196" t="str">
        <f>Table_Max_Subsidie_HTSM[[#This Row],[Sub.instr.]]&amp;" # "&amp;Table_Max_Subsidie_HTSM[[#This Row],[Maximale subsidiepercentages van kosten Organisatie]]</f>
        <v>MKB # GB</v>
      </c>
      <c r="B16" s="196" t="str">
        <f>_xlfn.XLOOKUP(Table_Max_Subsidie_HTSM[[#This Row],[Subsidie-instrument]],Table_Sub.reg._Sub.instr.[Subsidie-instrument],Table_Sub.reg._Sub.instr.[Sub.instr.],"&lt;Not in LuT&gt;",0,1)</f>
        <v>MKB</v>
      </c>
      <c r="C16" s="201" t="b">
        <v>0</v>
      </c>
      <c r="D16" s="198" t="s">
        <v>461</v>
      </c>
      <c r="E16" s="199" t="s">
        <v>409</v>
      </c>
      <c r="F16" s="414">
        <v>0</v>
      </c>
      <c r="G16" s="414">
        <v>0</v>
      </c>
      <c r="H16" s="414">
        <v>0</v>
      </c>
    </row>
    <row r="17" spans="1:18" ht="15" customHeight="1" x14ac:dyDescent="0.2">
      <c r="A17" s="196" t="str">
        <f>Table_Max_Subsidie_HTSM[[#This Row],[Sub.instr.]]&amp;" # "&amp;Table_Max_Subsidie_HTSM[[#This Row],[Maximale subsidiepercentages van kosten Organisatie]]</f>
        <v>MKB # MKB</v>
      </c>
      <c r="B17" s="196" t="str">
        <f>_xlfn.XLOOKUP(Table_Max_Subsidie_HTSM[[#This Row],[Subsidie-instrument]],Table_Sub.reg._Sub.instr.[Subsidie-instrument],Table_Sub.reg._Sub.instr.[Sub.instr.],"&lt;Not in LuT&gt;",0,1)</f>
        <v>MKB</v>
      </c>
      <c r="C17" s="201" t="b">
        <v>1</v>
      </c>
      <c r="D17" s="198" t="s">
        <v>461</v>
      </c>
      <c r="E17" s="199" t="s">
        <v>6</v>
      </c>
      <c r="F17" s="200">
        <v>0</v>
      </c>
      <c r="G17" s="200">
        <v>0.5</v>
      </c>
      <c r="H17" s="200">
        <v>0</v>
      </c>
    </row>
    <row r="18" spans="1:18" x14ac:dyDescent="0.2">
      <c r="A18" s="196" t="str">
        <f>Table_Max_Subsidie_HTSM[[#This Row],[Sub.instr.]]&amp;" # "&amp;Table_Max_Subsidie_HTSM[[#This Row],[Maximale subsidiepercentages van kosten Organisatie]]</f>
        <v xml:space="preserve">MKB # </v>
      </c>
      <c r="B18" s="196" t="str">
        <f>_xlfn.XLOOKUP(Table_Max_Subsidie_HTSM[[#This Row],[Subsidie-instrument]],Table_Sub.reg._Sub.instr.[Subsidie-instrument],Table_Sub.reg._Sub.instr.[Sub.instr.],"&lt;Not in LuT&gt;",0,1)</f>
        <v>MKB</v>
      </c>
      <c r="C18" s="201" t="b">
        <v>1</v>
      </c>
      <c r="D18" s="198" t="s">
        <v>461</v>
      </c>
      <c r="E18" s="199"/>
      <c r="F18" s="200">
        <v>0</v>
      </c>
      <c r="G18" s="200">
        <v>0</v>
      </c>
      <c r="H18" s="200">
        <v>0</v>
      </c>
    </row>
    <row r="19" spans="1:18" x14ac:dyDescent="0.2">
      <c r="A19" s="196" t="str">
        <f>Table_Max_Subsidie_HTSM[[#This Row],[Sub.instr.]]&amp;" # "&amp;Table_Max_Subsidie_HTSM[[#This Row],[Maximale subsidiepercentages van kosten Organisatie]]</f>
        <v>PPS-PGT # OO</v>
      </c>
      <c r="B19" s="196" t="str">
        <f>_xlfn.XLOOKUP(Table_Max_Subsidie_HTSM[[#This Row],[Subsidie-instrument]],Table_Sub.reg._Sub.instr.[Subsidie-instrument],Table_Sub.reg._Sub.instr.[Sub.instr.],"&lt;Not in LuT&gt;",0,1)</f>
        <v>PPS-PGT</v>
      </c>
      <c r="C19" s="201" t="b">
        <v>0</v>
      </c>
      <c r="D19" s="198" t="s">
        <v>175</v>
      </c>
      <c r="E19" s="199" t="s">
        <v>420</v>
      </c>
      <c r="F19" s="200">
        <v>0.85</v>
      </c>
      <c r="G19" s="200">
        <v>0.5</v>
      </c>
      <c r="H19" s="200">
        <v>0.25</v>
      </c>
    </row>
    <row r="20" spans="1:18" ht="15" customHeight="1" x14ac:dyDescent="0.2">
      <c r="A20" s="196" t="str">
        <f>Table_Max_Subsidie_HTSM[[#This Row],[Sub.instr.]]&amp;" # "&amp;Table_Max_Subsidie_HTSM[[#This Row],[Maximale subsidiepercentages van kosten Organisatie]]</f>
        <v>PPS-PGT # GB</v>
      </c>
      <c r="B20" s="196" t="str">
        <f>_xlfn.XLOOKUP(Table_Max_Subsidie_HTSM[[#This Row],[Subsidie-instrument]],Table_Sub.reg._Sub.instr.[Subsidie-instrument],Table_Sub.reg._Sub.instr.[Sub.instr.],"&lt;Not in LuT&gt;",0,1)</f>
        <v>PPS-PGT</v>
      </c>
      <c r="C20" s="201" t="b">
        <v>0</v>
      </c>
      <c r="D20" s="198" t="s">
        <v>175</v>
      </c>
      <c r="E20" s="199" t="s">
        <v>409</v>
      </c>
      <c r="F20" s="414">
        <v>0</v>
      </c>
      <c r="G20" s="414">
        <v>0</v>
      </c>
      <c r="H20" s="414">
        <v>0</v>
      </c>
    </row>
    <row r="21" spans="1:18" ht="15" customHeight="1" x14ac:dyDescent="0.2">
      <c r="A21" s="196" t="str">
        <f>Table_Max_Subsidie_HTSM[[#This Row],[Sub.instr.]]&amp;" # "&amp;Table_Max_Subsidie_HTSM[[#This Row],[Maximale subsidiepercentages van kosten Organisatie]]</f>
        <v>PPS-PGT # MKB</v>
      </c>
      <c r="B21" s="196" t="str">
        <f>_xlfn.XLOOKUP(Table_Max_Subsidie_HTSM[[#This Row],[Subsidie-instrument]],Table_Sub.reg._Sub.instr.[Subsidie-instrument],Table_Sub.reg._Sub.instr.[Sub.instr.],"&lt;Not in LuT&gt;",0,1)</f>
        <v>PPS-PGT</v>
      </c>
      <c r="C21" s="201" t="b">
        <v>1</v>
      </c>
      <c r="D21" s="198" t="s">
        <v>175</v>
      </c>
      <c r="E21" s="199" t="s">
        <v>6</v>
      </c>
      <c r="F21" s="200">
        <v>0.85</v>
      </c>
      <c r="G21" s="200">
        <v>0.5</v>
      </c>
      <c r="H21" s="200">
        <v>0.25</v>
      </c>
    </row>
    <row r="22" spans="1:18" ht="15" customHeight="1" x14ac:dyDescent="0.2">
      <c r="A22" s="196" t="str">
        <f>Table_Max_Subsidie_HTSM[[#This Row],[Sub.instr.]]&amp;" # "&amp;Table_Max_Subsidie_HTSM[[#This Row],[Maximale subsidiepercentages van kosten Organisatie]]</f>
        <v xml:space="preserve">PPS-PGT # </v>
      </c>
      <c r="B22" s="196" t="str">
        <f>_xlfn.XLOOKUP(Table_Max_Subsidie_HTSM[[#This Row],[Subsidie-instrument]],Table_Sub.reg._Sub.instr.[Subsidie-instrument],Table_Sub.reg._Sub.instr.[Sub.instr.],"&lt;Not in LuT&gt;",0,1)</f>
        <v>PPS-PGT</v>
      </c>
      <c r="C22" s="201" t="b">
        <v>1</v>
      </c>
      <c r="D22" s="198" t="s">
        <v>175</v>
      </c>
      <c r="E22" s="199"/>
      <c r="F22" s="200">
        <v>0</v>
      </c>
      <c r="G22" s="200">
        <v>0</v>
      </c>
      <c r="H22" s="200">
        <v>0</v>
      </c>
    </row>
    <row r="23" spans="1:18" ht="15" customHeight="1" x14ac:dyDescent="0.2">
      <c r="A23" s="196" t="str">
        <f>Table_Max_Subsidie_HTSM[[#This Row],[Sub.instr.]]&amp;" # "&amp;Table_Max_Subsidie_HTSM[[#This Row],[Maximale subsidiepercentages van kosten Organisatie]]</f>
        <v>[Maak een keuze] # OO</v>
      </c>
      <c r="B23" s="196" t="str">
        <f>_xlfn.XLOOKUP(Table_Max_Subsidie_HTSM[[#This Row],[Subsidie-instrument]],Table_Sub.reg._Sub.instr.[Subsidie-instrument],Table_Sub.reg._Sub.instr.[Sub.instr.],"&lt;Not in LuT&gt;",0,1)</f>
        <v>[Maak een keuze]</v>
      </c>
      <c r="C23" s="201" t="b">
        <v>0</v>
      </c>
      <c r="D23" s="202" t="s">
        <v>19</v>
      </c>
      <c r="E23" s="203" t="s">
        <v>420</v>
      </c>
      <c r="F23" s="201">
        <v>0</v>
      </c>
      <c r="G23" s="201">
        <v>0</v>
      </c>
      <c r="H23" s="201">
        <v>0</v>
      </c>
    </row>
    <row r="24" spans="1:18" ht="15" customHeight="1" x14ac:dyDescent="0.2">
      <c r="A24" s="196" t="str">
        <f>Table_Max_Subsidie_HTSM[[#This Row],[Sub.instr.]]&amp;" # "&amp;Table_Max_Subsidie_HTSM[[#This Row],[Maximale subsidiepercentages van kosten Organisatie]]</f>
        <v>[Maak een keuze] # GB</v>
      </c>
      <c r="B24" s="196" t="str">
        <f>_xlfn.XLOOKUP(Table_Max_Subsidie_HTSM[[#This Row],[Subsidie-instrument]],Table_Sub.reg._Sub.instr.[Subsidie-instrument],Table_Sub.reg._Sub.instr.[Sub.instr.],"&lt;Not in LuT&gt;",0,1)</f>
        <v>[Maak een keuze]</v>
      </c>
      <c r="C24" s="201" t="b">
        <v>0</v>
      </c>
      <c r="D24" s="202" t="s">
        <v>19</v>
      </c>
      <c r="E24" s="203" t="s">
        <v>409</v>
      </c>
      <c r="F24" s="201">
        <v>0</v>
      </c>
      <c r="G24" s="201">
        <v>0</v>
      </c>
      <c r="H24" s="201">
        <v>0</v>
      </c>
      <c r="N24" s="194" t="s">
        <v>108</v>
      </c>
      <c r="O24" s="207" t="s">
        <v>138</v>
      </c>
      <c r="P24" s="208" t="s">
        <v>81</v>
      </c>
      <c r="Q24" s="208" t="s">
        <v>82</v>
      </c>
      <c r="R24" s="208" t="s">
        <v>83</v>
      </c>
    </row>
    <row r="25" spans="1:18" ht="15" customHeight="1" x14ac:dyDescent="0.2">
      <c r="A25" s="196" t="str">
        <f>Table_Max_Subsidie_HTSM[[#This Row],[Sub.instr.]]&amp;" # "&amp;Table_Max_Subsidie_HTSM[[#This Row],[Maximale subsidiepercentages van kosten Organisatie]]</f>
        <v>[Maak een keuze] # MKB</v>
      </c>
      <c r="B25" s="196" t="str">
        <f>_xlfn.XLOOKUP(Table_Max_Subsidie_HTSM[[#This Row],[Subsidie-instrument]],Table_Sub.reg._Sub.instr.[Subsidie-instrument],Table_Sub.reg._Sub.instr.[Sub.instr.],"&lt;Not in LuT&gt;",0,1)</f>
        <v>[Maak een keuze]</v>
      </c>
      <c r="C25" s="201" t="b">
        <v>1</v>
      </c>
      <c r="D25" s="202" t="s">
        <v>19</v>
      </c>
      <c r="E25" s="203" t="s">
        <v>6</v>
      </c>
      <c r="F25" s="201">
        <v>0</v>
      </c>
      <c r="G25" s="201">
        <v>0</v>
      </c>
      <c r="H25" s="201">
        <v>0</v>
      </c>
      <c r="M25" s="198"/>
      <c r="N25" s="198" t="s">
        <v>422</v>
      </c>
      <c r="O25" s="199" t="s">
        <v>144</v>
      </c>
      <c r="P25" s="200">
        <v>0</v>
      </c>
      <c r="Q25" s="200">
        <v>0</v>
      </c>
      <c r="R25" s="200">
        <v>0</v>
      </c>
    </row>
    <row r="26" spans="1:18" ht="15" customHeight="1" x14ac:dyDescent="0.2">
      <c r="A26" s="196" t="str">
        <f>Table_Max_Subsidie_HTSM[[#This Row],[Sub.instr.]]&amp;" # "&amp;Table_Max_Subsidie_HTSM[[#This Row],[Maximale subsidiepercentages van kosten Organisatie]]</f>
        <v xml:space="preserve">[Maak een keuze] # </v>
      </c>
      <c r="B26" s="196" t="str">
        <f>_xlfn.XLOOKUP(Table_Max_Subsidie_HTSM[[#This Row],[Subsidie-instrument]],Table_Sub.reg._Sub.instr.[Subsidie-instrument],Table_Sub.reg._Sub.instr.[Sub.instr.],"&lt;Not in LuT&gt;",0,1)</f>
        <v>[Maak een keuze]</v>
      </c>
      <c r="C26" s="201" t="b">
        <v>1</v>
      </c>
      <c r="D26" s="202" t="s">
        <v>19</v>
      </c>
      <c r="E26" s="203"/>
      <c r="F26" s="201">
        <v>0</v>
      </c>
      <c r="G26" s="201">
        <v>0</v>
      </c>
      <c r="H26" s="201">
        <v>0</v>
      </c>
      <c r="M26" s="198"/>
      <c r="N26" s="198" t="s">
        <v>423</v>
      </c>
      <c r="O26" s="199" t="s">
        <v>144</v>
      </c>
      <c r="P26" s="200">
        <v>0</v>
      </c>
      <c r="Q26" s="200">
        <v>0</v>
      </c>
      <c r="R26" s="200">
        <v>0</v>
      </c>
    </row>
    <row r="27" spans="1:18" ht="15" customHeight="1" x14ac:dyDescent="0.2">
      <c r="A27" s="196" t="str">
        <f>Table_Max_Subsidie_HTSM[[#This Row],[Sub.instr.]]&amp;" # "&amp;Table_Max_Subsidie_HTSM[[#This Row],[Maximale subsidiepercentages van kosten Organisatie]]</f>
        <v>&lt;Not in LuT&gt; # OO</v>
      </c>
      <c r="B27" s="196" t="str">
        <f>_xlfn.XLOOKUP(Table_Max_Subsidie_HTSM[[#This Row],[Subsidie-instrument]],Table_Sub.reg._Sub.instr.[Subsidie-instrument],Table_Sub.reg._Sub.instr.[Sub.instr.],"&lt;Not in LuT&gt;",0,1)</f>
        <v>&lt;Not in LuT&gt;</v>
      </c>
      <c r="C27" s="201" t="b">
        <v>0</v>
      </c>
      <c r="D27" s="202" t="s">
        <v>188</v>
      </c>
      <c r="E27" s="203" t="s">
        <v>420</v>
      </c>
      <c r="F27" s="201">
        <v>0</v>
      </c>
      <c r="G27" s="201">
        <v>0</v>
      </c>
      <c r="H27" s="201">
        <v>0</v>
      </c>
      <c r="M27" s="198"/>
      <c r="N27" s="199"/>
      <c r="O27" s="200"/>
      <c r="P27" s="200"/>
      <c r="Q27" s="200"/>
    </row>
    <row r="28" spans="1:18" ht="15" customHeight="1" x14ac:dyDescent="0.2">
      <c r="A28" s="196" t="str">
        <f>Table_Max_Subsidie_HTSM[[#This Row],[Sub.instr.]]&amp;" # "&amp;Table_Max_Subsidie_HTSM[[#This Row],[Maximale subsidiepercentages van kosten Organisatie]]</f>
        <v>&lt;Not in LuT&gt; # GB</v>
      </c>
      <c r="B28" s="196" t="str">
        <f>_xlfn.XLOOKUP(Table_Max_Subsidie_HTSM[[#This Row],[Subsidie-instrument]],Table_Sub.reg._Sub.instr.[Subsidie-instrument],Table_Sub.reg._Sub.instr.[Sub.instr.],"&lt;Not in LuT&gt;",0,1)</f>
        <v>&lt;Not in LuT&gt;</v>
      </c>
      <c r="C28" s="201" t="b">
        <v>0</v>
      </c>
      <c r="D28" s="202" t="s">
        <v>188</v>
      </c>
      <c r="E28" s="203" t="s">
        <v>409</v>
      </c>
      <c r="F28" s="201">
        <v>0</v>
      </c>
      <c r="G28" s="201">
        <v>0</v>
      </c>
      <c r="H28" s="201">
        <v>0</v>
      </c>
    </row>
    <row r="29" spans="1:18" ht="15" customHeight="1" x14ac:dyDescent="0.2">
      <c r="A29" s="196" t="str">
        <f>Table_Max_Subsidie_HTSM[[#This Row],[Sub.instr.]]&amp;" # "&amp;Table_Max_Subsidie_HTSM[[#This Row],[Maximale subsidiepercentages van kosten Organisatie]]</f>
        <v>&lt;Not in LuT&gt; # MKB</v>
      </c>
      <c r="B29" s="196" t="str">
        <f>_xlfn.XLOOKUP(Table_Max_Subsidie_HTSM[[#This Row],[Subsidie-instrument]],Table_Sub.reg._Sub.instr.[Subsidie-instrument],Table_Sub.reg._Sub.instr.[Sub.instr.],"&lt;Not in LuT&gt;",0,1)</f>
        <v>&lt;Not in LuT&gt;</v>
      </c>
      <c r="C29" s="201" t="b">
        <v>1</v>
      </c>
      <c r="D29" s="202" t="s">
        <v>188</v>
      </c>
      <c r="E29" s="203" t="s">
        <v>6</v>
      </c>
      <c r="F29" s="201">
        <v>0</v>
      </c>
      <c r="G29" s="201">
        <v>0</v>
      </c>
      <c r="H29" s="201">
        <v>0</v>
      </c>
    </row>
    <row r="30" spans="1:18" ht="15" customHeight="1" x14ac:dyDescent="0.2">
      <c r="A30" s="196" t="str">
        <f>Table_Max_Subsidie_HTSM[[#This Row],[Sub.instr.]]&amp;" # "&amp;Table_Max_Subsidie_HTSM[[#This Row],[Maximale subsidiepercentages van kosten Organisatie]]</f>
        <v xml:space="preserve">&lt;Not in LuT&gt; # </v>
      </c>
      <c r="B30" s="196" t="str">
        <f>_xlfn.XLOOKUP(Table_Max_Subsidie_HTSM[[#This Row],[Subsidie-instrument]],Table_Sub.reg._Sub.instr.[Subsidie-instrument],Table_Sub.reg._Sub.instr.[Sub.instr.],"&lt;Not in LuT&gt;",0,1)</f>
        <v>&lt;Not in LuT&gt;</v>
      </c>
      <c r="C30" s="201" t="b">
        <v>1</v>
      </c>
      <c r="D30" s="202" t="s">
        <v>188</v>
      </c>
      <c r="E30" s="203"/>
      <c r="F30" s="201">
        <v>0</v>
      </c>
      <c r="G30" s="201">
        <v>0</v>
      </c>
      <c r="H30" s="201">
        <v>0</v>
      </c>
    </row>
    <row r="31" spans="1:18" ht="15" customHeight="1" x14ac:dyDescent="0.2">
      <c r="A31" s="200"/>
      <c r="B31" s="200"/>
      <c r="C31" s="204"/>
      <c r="D31" s="200"/>
      <c r="E31" s="200"/>
      <c r="F31" s="200"/>
    </row>
    <row r="32" spans="1:18" ht="15" customHeight="1" x14ac:dyDescent="0.2">
      <c r="A32" s="200"/>
      <c r="B32" s="200"/>
      <c r="C32" s="204"/>
      <c r="D32" s="200"/>
      <c r="E32" s="200"/>
      <c r="F32" s="200"/>
    </row>
    <row r="33" spans="1:8" ht="15" customHeight="1" x14ac:dyDescent="0.2">
      <c r="D33" s="467" t="s">
        <v>143</v>
      </c>
      <c r="E33" s="467"/>
      <c r="F33" s="467"/>
      <c r="G33" s="467"/>
      <c r="H33" s="467"/>
    </row>
    <row r="34" spans="1:8" ht="15" customHeight="1" x14ac:dyDescent="0.2">
      <c r="A34" s="207" t="s">
        <v>172</v>
      </c>
      <c r="B34" s="207" t="s">
        <v>171</v>
      </c>
      <c r="C34" s="208" t="s">
        <v>147</v>
      </c>
      <c r="D34" s="195" t="s">
        <v>170</v>
      </c>
      <c r="E34" s="207" t="s">
        <v>176</v>
      </c>
      <c r="F34" s="208" t="s">
        <v>81</v>
      </c>
      <c r="G34" s="208" t="s">
        <v>82</v>
      </c>
      <c r="H34" s="208" t="s">
        <v>83</v>
      </c>
    </row>
    <row r="35" spans="1:8" ht="15" customHeight="1" x14ac:dyDescent="0.2">
      <c r="A35" s="196" t="str">
        <f>Table_Min_Cash_CoF_HTSM[[#This Row],[Sub.instr.]]&amp;" # "&amp;IF(Table_Min_Cash_CoF_HTSM[[#This Row],[MKB-Consortium?]],"TRUE","FALSE")</f>
        <v>PPS-I SP # FALSE</v>
      </c>
      <c r="B35" s="196" t="str">
        <f>_xlfn.XLOOKUP(Table_Min_Cash_CoF_HTSM[[#This Row],[Subsidie-instrument]],Table_Sub.reg._Sub.instr.[Subsidie-instrument],Table_Sub.reg._Sub.instr.[Sub.instr.],"&lt;Not in LuT&gt;",0,1)</f>
        <v>PPS-I SP</v>
      </c>
      <c r="C35" s="197" t="b">
        <v>0</v>
      </c>
      <c r="D35" s="198" t="s">
        <v>173</v>
      </c>
      <c r="E35" s="199" t="s">
        <v>131</v>
      </c>
      <c r="F35" s="200">
        <v>1</v>
      </c>
      <c r="G35" s="200">
        <v>0.5</v>
      </c>
      <c r="H35" s="200">
        <v>0.3</v>
      </c>
    </row>
    <row r="36" spans="1:8" x14ac:dyDescent="0.2">
      <c r="A36" s="196" t="str">
        <f>Table_Min_Cash_CoF_HTSM[[#This Row],[Sub.instr.]]&amp;" # "&amp;IF(Table_Min_Cash_CoF_HTSM[[#This Row],[MKB-Consortium?]],"TRUE","FALSE")</f>
        <v>PPS-I SP # TRUE</v>
      </c>
      <c r="B36" s="196" t="str">
        <f>_xlfn.XLOOKUP(Table_Min_Cash_CoF_HTSM[[#This Row],[Subsidie-instrument]],Table_Sub.reg._Sub.instr.[Subsidie-instrument],Table_Sub.reg._Sub.instr.[Sub.instr.],"&lt;Not in LuT&gt;",0,1)</f>
        <v>PPS-I SP</v>
      </c>
      <c r="C36" s="197" t="b">
        <v>1</v>
      </c>
      <c r="D36" s="198" t="s">
        <v>173</v>
      </c>
      <c r="E36" s="199" t="s">
        <v>132</v>
      </c>
      <c r="F36" s="200">
        <v>0</v>
      </c>
      <c r="G36" s="200">
        <v>0</v>
      </c>
      <c r="H36" s="200">
        <v>0.3</v>
      </c>
    </row>
    <row r="37" spans="1:8" x14ac:dyDescent="0.2">
      <c r="A37" s="196" t="str">
        <f>Table_Min_Cash_CoF_HTSM[[#This Row],[Sub.instr.]]&amp;" # "&amp;IF(Table_Min_Cash_CoF_HTSM[[#This Row],[MKB-Consortium?]],"TRUE","FALSE")</f>
        <v>PPS-I Flex # FALSE</v>
      </c>
      <c r="B37" s="196" t="str">
        <f>_xlfn.XLOOKUP(Table_Min_Cash_CoF_HTSM[[#This Row],[Subsidie-instrument]],Table_Sub.reg._Sub.instr.[Subsidie-instrument],Table_Sub.reg._Sub.instr.[Sub.instr.],"&lt;Not in LuT&gt;",0,1)</f>
        <v>PPS-I Flex</v>
      </c>
      <c r="C37" s="197" t="b">
        <v>0</v>
      </c>
      <c r="D37" s="198" t="s">
        <v>174</v>
      </c>
      <c r="E37" s="199" t="s">
        <v>131</v>
      </c>
      <c r="F37" s="200">
        <v>1</v>
      </c>
      <c r="G37" s="200">
        <v>0.5</v>
      </c>
      <c r="H37" s="200">
        <v>0.3</v>
      </c>
    </row>
    <row r="38" spans="1:8" x14ac:dyDescent="0.2">
      <c r="A38" s="196" t="str">
        <f>Table_Min_Cash_CoF_HTSM[[#This Row],[Sub.instr.]]&amp;" # "&amp;IF(Table_Min_Cash_CoF_HTSM[[#This Row],[MKB-Consortium?]],"TRUE","FALSE")</f>
        <v>PPS-I Flex # TRUE</v>
      </c>
      <c r="B38" s="196" t="str">
        <f>_xlfn.XLOOKUP(Table_Min_Cash_CoF_HTSM[[#This Row],[Subsidie-instrument]],Table_Sub.reg._Sub.instr.[Subsidie-instrument],Table_Sub.reg._Sub.instr.[Sub.instr.],"&lt;Not in LuT&gt;",0,1)</f>
        <v>PPS-I Flex</v>
      </c>
      <c r="C38" s="197" t="b">
        <v>1</v>
      </c>
      <c r="D38" s="198" t="s">
        <v>174</v>
      </c>
      <c r="E38" s="199" t="s">
        <v>132</v>
      </c>
      <c r="F38" s="200">
        <v>0</v>
      </c>
      <c r="G38" s="200">
        <v>0</v>
      </c>
      <c r="H38" s="200">
        <v>0.3</v>
      </c>
    </row>
    <row r="39" spans="1:8" x14ac:dyDescent="0.2">
      <c r="A39" s="196" t="str">
        <f>Table_Min_Cash_CoF_HTSM[[#This Row],[Sub.instr.]]&amp;" # "&amp;IF(Table_Min_Cash_CoF_HTSM[[#This Row],[MKB-Consortium?]],"TRUE","FALSE")</f>
        <v>MKB # FALSE</v>
      </c>
      <c r="B39" s="196" t="str">
        <f>_xlfn.XLOOKUP(Table_Min_Cash_CoF_HTSM[[#This Row],[Subsidie-instrument]],Table_Sub.reg._Sub.instr.[Subsidie-instrument],Table_Sub.reg._Sub.instr.[Sub.instr.],"&lt;Not in LuT&gt;",0,1)</f>
        <v>MKB</v>
      </c>
      <c r="C39" s="197" t="b">
        <v>0</v>
      </c>
      <c r="D39" s="198" t="s">
        <v>460</v>
      </c>
      <c r="E39" s="199" t="s">
        <v>131</v>
      </c>
      <c r="F39" s="200">
        <v>0</v>
      </c>
      <c r="G39" s="200">
        <v>0</v>
      </c>
      <c r="H39" s="200">
        <v>0</v>
      </c>
    </row>
    <row r="40" spans="1:8" x14ac:dyDescent="0.2">
      <c r="A40" s="196" t="str">
        <f>Table_Min_Cash_CoF_HTSM[[#This Row],[Sub.instr.]]&amp;" # "&amp;IF(Table_Min_Cash_CoF_HTSM[[#This Row],[MKB-Consortium?]],"TRUE","FALSE")</f>
        <v>MKB # TRUE</v>
      </c>
      <c r="B40" s="196" t="str">
        <f>_xlfn.XLOOKUP(Table_Min_Cash_CoF_HTSM[[#This Row],[Subsidie-instrument]],Table_Sub.reg._Sub.instr.[Subsidie-instrument],Table_Sub.reg._Sub.instr.[Sub.instr.],"&lt;Not in LuT&gt;",0,1)</f>
        <v>MKB</v>
      </c>
      <c r="C40" s="197" t="b">
        <v>1</v>
      </c>
      <c r="D40" s="198" t="s">
        <v>460</v>
      </c>
      <c r="E40" s="199" t="s">
        <v>132</v>
      </c>
      <c r="F40" s="200">
        <v>0</v>
      </c>
      <c r="G40" s="200">
        <v>0</v>
      </c>
      <c r="H40" s="200">
        <v>0</v>
      </c>
    </row>
    <row r="41" spans="1:8" x14ac:dyDescent="0.2">
      <c r="A41" s="196" t="str">
        <f>Table_Min_Cash_CoF_HTSM[[#This Row],[Sub.instr.]]&amp;" # "&amp;IF(Table_Min_Cash_CoF_HTSM[[#This Row],[MKB-Consortium?]],"TRUE","FALSE")</f>
        <v>MKB # FALSE</v>
      </c>
      <c r="B41" s="196" t="str">
        <f>_xlfn.XLOOKUP(Table_Min_Cash_CoF_HTSM[[#This Row],[Subsidie-instrument]],Table_Sub.reg._Sub.instr.[Subsidie-instrument],Table_Sub.reg._Sub.instr.[Sub.instr.],"&lt;Not in LuT&gt;",0,1)</f>
        <v>MKB</v>
      </c>
      <c r="C41" s="197" t="b">
        <v>0</v>
      </c>
      <c r="D41" s="198" t="s">
        <v>461</v>
      </c>
      <c r="E41" s="199" t="s">
        <v>131</v>
      </c>
      <c r="F41" s="200">
        <v>0</v>
      </c>
      <c r="G41" s="200">
        <v>0</v>
      </c>
      <c r="H41" s="200">
        <v>0</v>
      </c>
    </row>
    <row r="42" spans="1:8" x14ac:dyDescent="0.2">
      <c r="A42" s="196" t="str">
        <f>Table_Min_Cash_CoF_HTSM[[#This Row],[Sub.instr.]]&amp;" # "&amp;IF(Table_Min_Cash_CoF_HTSM[[#This Row],[MKB-Consortium?]],"TRUE","FALSE")</f>
        <v>MKB # TRUE</v>
      </c>
      <c r="B42" s="196" t="str">
        <f>_xlfn.XLOOKUP(Table_Min_Cash_CoF_HTSM[[#This Row],[Subsidie-instrument]],Table_Sub.reg._Sub.instr.[Subsidie-instrument],Table_Sub.reg._Sub.instr.[Sub.instr.],"&lt;Not in LuT&gt;",0,1)</f>
        <v>MKB</v>
      </c>
      <c r="C42" s="197" t="b">
        <v>1</v>
      </c>
      <c r="D42" s="198" t="s">
        <v>461</v>
      </c>
      <c r="E42" s="199" t="s">
        <v>132</v>
      </c>
      <c r="F42" s="200">
        <v>0</v>
      </c>
      <c r="G42" s="200">
        <v>0</v>
      </c>
      <c r="H42" s="200">
        <v>0</v>
      </c>
    </row>
    <row r="43" spans="1:8" x14ac:dyDescent="0.2">
      <c r="A43" s="196" t="str">
        <f>Table_Min_Cash_CoF_HTSM[[#This Row],[Sub.instr.]]&amp;" # "&amp;IF(Table_Min_Cash_CoF_HTSM[[#This Row],[MKB-Consortium?]],"TRUE","FALSE")</f>
        <v>PPS-PGT # FALSE</v>
      </c>
      <c r="B43" s="196" t="str">
        <f>_xlfn.XLOOKUP(Table_Min_Cash_CoF_HTSM[[#This Row],[Subsidie-instrument]],Table_Sub.reg._Sub.instr.[Subsidie-instrument],Table_Sub.reg._Sub.instr.[Sub.instr.],"&lt;Not in LuT&gt;",0,1)</f>
        <v>PPS-PGT</v>
      </c>
      <c r="C43" s="197" t="b">
        <v>0</v>
      </c>
      <c r="D43" s="198" t="s">
        <v>175</v>
      </c>
      <c r="E43" s="199" t="s">
        <v>131</v>
      </c>
      <c r="F43" s="200">
        <v>1</v>
      </c>
      <c r="G43" s="200">
        <v>0.5</v>
      </c>
      <c r="H43" s="200">
        <v>0.3</v>
      </c>
    </row>
    <row r="44" spans="1:8" ht="15" customHeight="1" x14ac:dyDescent="0.2">
      <c r="A44" s="196" t="str">
        <f>Table_Min_Cash_CoF_HTSM[[#This Row],[Sub.instr.]]&amp;" # "&amp;IF(Table_Min_Cash_CoF_HTSM[[#This Row],[MKB-Consortium?]],"TRUE","FALSE")</f>
        <v>PPS-PGT # TRUE</v>
      </c>
      <c r="B44" s="196" t="str">
        <f>_xlfn.XLOOKUP(Table_Min_Cash_CoF_HTSM[[#This Row],[Subsidie-instrument]],Table_Sub.reg._Sub.instr.[Subsidie-instrument],Table_Sub.reg._Sub.instr.[Sub.instr.],"&lt;Not in LuT&gt;",0,1)</f>
        <v>PPS-PGT</v>
      </c>
      <c r="C44" s="197" t="b">
        <v>1</v>
      </c>
      <c r="D44" s="198" t="s">
        <v>175</v>
      </c>
      <c r="E44" s="199" t="s">
        <v>132</v>
      </c>
      <c r="F44" s="200">
        <v>0</v>
      </c>
      <c r="G44" s="200">
        <v>0</v>
      </c>
      <c r="H44" s="200">
        <v>0.3</v>
      </c>
    </row>
    <row r="45" spans="1:8" ht="15" customHeight="1" x14ac:dyDescent="0.2">
      <c r="A45" s="196" t="str">
        <f>Table_Min_Cash_CoF_HTSM[[#This Row],[Sub.instr.]]&amp;" # "&amp;IF(Table_Min_Cash_CoF_HTSM[[#This Row],[MKB-Consortium?]],"TRUE","FALSE")</f>
        <v>[Maak een keuze] # FALSE</v>
      </c>
      <c r="B45" s="196" t="str">
        <f>_xlfn.XLOOKUP(Table_Min_Cash_CoF_HTSM[[#This Row],[Subsidie-instrument]],Table_Sub.reg._Sub.instr.[Subsidie-instrument],Table_Sub.reg._Sub.instr.[Sub.instr.],"&lt;Not in LuT&gt;",0,1)</f>
        <v>[Maak een keuze]</v>
      </c>
      <c r="C45" s="197" t="b">
        <v>0</v>
      </c>
      <c r="D45" s="202" t="s">
        <v>19</v>
      </c>
      <c r="E45" s="203" t="s">
        <v>131</v>
      </c>
      <c r="F45" s="201">
        <v>0</v>
      </c>
      <c r="G45" s="201">
        <v>0</v>
      </c>
      <c r="H45" s="201">
        <v>0</v>
      </c>
    </row>
    <row r="46" spans="1:8" ht="15" customHeight="1" x14ac:dyDescent="0.2">
      <c r="A46" s="196" t="str">
        <f>Table_Min_Cash_CoF_HTSM[[#This Row],[Sub.instr.]]&amp;" # "&amp;IF(Table_Min_Cash_CoF_HTSM[[#This Row],[MKB-Consortium?]],"TRUE","FALSE")</f>
        <v>[Maak een keuze] # TRUE</v>
      </c>
      <c r="B46" s="196" t="str">
        <f>_xlfn.XLOOKUP(Table_Min_Cash_CoF_HTSM[[#This Row],[Subsidie-instrument]],Table_Sub.reg._Sub.instr.[Subsidie-instrument],Table_Sub.reg._Sub.instr.[Sub.instr.],"&lt;Not in LuT&gt;",0,1)</f>
        <v>[Maak een keuze]</v>
      </c>
      <c r="C46" s="197" t="b">
        <v>1</v>
      </c>
      <c r="D46" s="202" t="s">
        <v>19</v>
      </c>
      <c r="E46" s="203" t="s">
        <v>132</v>
      </c>
      <c r="F46" s="201">
        <v>0</v>
      </c>
      <c r="G46" s="201">
        <v>0</v>
      </c>
      <c r="H46" s="201">
        <v>0</v>
      </c>
    </row>
    <row r="47" spans="1:8" ht="15" customHeight="1" x14ac:dyDescent="0.2">
      <c r="A47" s="205"/>
      <c r="B47" s="205"/>
      <c r="C47" s="204"/>
      <c r="D47" s="198"/>
      <c r="E47" s="199"/>
      <c r="F47" s="204"/>
      <c r="G47" s="204"/>
      <c r="H47" s="204"/>
    </row>
    <row r="48" spans="1:8" ht="15" customHeight="1" x14ac:dyDescent="0.2">
      <c r="A48" s="205"/>
      <c r="B48" s="205"/>
      <c r="C48" s="204"/>
      <c r="D48" s="198"/>
      <c r="E48" s="199"/>
      <c r="F48" s="204"/>
      <c r="G48" s="204"/>
      <c r="H48" s="204"/>
    </row>
    <row r="49" spans="2:6" ht="15" customHeight="1" x14ac:dyDescent="0.2">
      <c r="B49" s="208"/>
      <c r="C49" s="208"/>
      <c r="D49" s="208"/>
    </row>
    <row r="50" spans="2:6" ht="15" customHeight="1" x14ac:dyDescent="0.2">
      <c r="C50" s="207" t="s">
        <v>171</v>
      </c>
      <c r="D50" s="195" t="s">
        <v>170</v>
      </c>
      <c r="E50" s="207" t="s">
        <v>108</v>
      </c>
      <c r="F50" s="195" t="s">
        <v>146</v>
      </c>
    </row>
    <row r="51" spans="2:6" ht="15" customHeight="1" x14ac:dyDescent="0.2">
      <c r="C51" s="198" t="s">
        <v>177</v>
      </c>
      <c r="D51" s="198" t="s">
        <v>173</v>
      </c>
      <c r="E51" s="198" t="s">
        <v>422</v>
      </c>
      <c r="F51" s="198" t="s">
        <v>418</v>
      </c>
    </row>
    <row r="52" spans="2:6" ht="15" customHeight="1" x14ac:dyDescent="0.2">
      <c r="C52" s="198" t="s">
        <v>178</v>
      </c>
      <c r="D52" s="198" t="s">
        <v>174</v>
      </c>
      <c r="E52" s="198" t="s">
        <v>422</v>
      </c>
      <c r="F52" s="198" t="s">
        <v>418</v>
      </c>
    </row>
    <row r="53" spans="2:6" ht="15" customHeight="1" x14ac:dyDescent="0.2">
      <c r="C53" s="198" t="s">
        <v>6</v>
      </c>
      <c r="D53" s="198" t="s">
        <v>460</v>
      </c>
      <c r="E53" s="198" t="s">
        <v>422</v>
      </c>
      <c r="F53" s="198" t="s">
        <v>418</v>
      </c>
    </row>
    <row r="54" spans="2:6" ht="15" customHeight="1" x14ac:dyDescent="0.2">
      <c r="C54" s="198" t="s">
        <v>6</v>
      </c>
      <c r="D54" s="198" t="s">
        <v>461</v>
      </c>
      <c r="E54" s="198" t="s">
        <v>422</v>
      </c>
      <c r="F54" s="198" t="s">
        <v>418</v>
      </c>
    </row>
    <row r="55" spans="2:6" ht="15" customHeight="1" x14ac:dyDescent="0.2">
      <c r="C55" s="198" t="s">
        <v>141</v>
      </c>
      <c r="D55" s="198" t="s">
        <v>175</v>
      </c>
      <c r="E55" s="198" t="s">
        <v>423</v>
      </c>
      <c r="F55" s="198" t="s">
        <v>141</v>
      </c>
    </row>
    <row r="56" spans="2:6" ht="15" customHeight="1" x14ac:dyDescent="0.2">
      <c r="C56" s="198" t="s">
        <v>19</v>
      </c>
      <c r="D56" s="198" t="s">
        <v>19</v>
      </c>
      <c r="E56" s="198" t="s">
        <v>19</v>
      </c>
      <c r="F56" s="198" t="s">
        <v>19</v>
      </c>
    </row>
    <row r="59" spans="2:6" ht="15" customHeight="1" x14ac:dyDescent="0.2">
      <c r="E59" s="224" t="s">
        <v>164</v>
      </c>
    </row>
    <row r="60" spans="2:6" ht="15" customHeight="1" x14ac:dyDescent="0.2">
      <c r="E60" s="225" t="s">
        <v>168</v>
      </c>
    </row>
    <row r="61" spans="2:6" ht="15" customHeight="1" x14ac:dyDescent="0.2">
      <c r="E61" s="226" t="s">
        <v>165</v>
      </c>
    </row>
    <row r="62" spans="2:6" ht="15" customHeight="1" x14ac:dyDescent="0.2">
      <c r="E62" s="228" t="s">
        <v>167</v>
      </c>
    </row>
    <row r="63" spans="2:6" ht="15" customHeight="1" x14ac:dyDescent="0.2">
      <c r="E63" s="227" t="s">
        <v>163</v>
      </c>
    </row>
  </sheetData>
  <sheetProtection algorithmName="SHA-512" hashValue="bfFFzhX7D92LlW4ZwP6fJZFoYwrTSQd0llJteu8fMF/Cmzrldmi9TbK9dWw1Slkr3kyP1wdoXKLmZovNAiVuhA==" saltValue="BcVdSKT152Ivtlgknb200g==" spinCount="100000" sheet="1" objects="1" scenarios="1"/>
  <mergeCells count="3">
    <mergeCell ref="D1:H1"/>
    <mergeCell ref="D33:H33"/>
    <mergeCell ref="M1:Q1"/>
  </mergeCells>
  <printOptions gridLines="1"/>
  <pageMargins left="0.74803149606299213" right="0.74803149606299213" top="0.98425196850393704" bottom="0.98425196850393704" header="0.51181102362204722" footer="0.51181102362204722"/>
  <pageSetup paperSize="9" orientation="portrait" horizontalDpi="4294967292" verticalDpi="300" r:id="rId1"/>
  <headerFooter alignWithMargins="0">
    <oddFooter>&amp;L&amp;8Erna Olislaegers
&amp;D at &amp;T&amp;C&amp;8&amp;P/&amp;N&amp;R&amp;8File: &amp;F
Sheet: &amp;A</oddFooter>
  </headerFooter>
  <tableParts count="5">
    <tablePart r:id="rId2"/>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065EB-883C-44E7-8BD2-C52181019E61}">
  <sheetPr codeName="Sheet51">
    <tabColor theme="4"/>
    <pageSetUpPr fitToPage="1"/>
  </sheetPr>
  <dimension ref="A1:M39"/>
  <sheetViews>
    <sheetView showGridLines="0" tabSelected="1" zoomScale="85" zoomScaleNormal="85" workbookViewId="0">
      <selection activeCell="B3" sqref="B3:C3"/>
    </sheetView>
  </sheetViews>
  <sheetFormatPr defaultColWidth="9.140625" defaultRowHeight="15" customHeight="1" x14ac:dyDescent="0.2"/>
  <cols>
    <col min="1" max="1" width="25.140625" customWidth="1"/>
    <col min="2" max="2" width="57.42578125" customWidth="1"/>
    <col min="3" max="3" width="36.28515625" customWidth="1"/>
    <col min="4" max="4" width="18.140625" customWidth="1"/>
    <col min="5" max="5" width="30.7109375" customWidth="1"/>
    <col min="6" max="6" width="17.5703125" customWidth="1"/>
    <col min="7" max="7" width="30.7109375" customWidth="1"/>
    <col min="8" max="8" width="140.28515625" customWidth="1"/>
  </cols>
  <sheetData>
    <row r="1" spans="1:8" ht="30.75" thickBot="1" x14ac:dyDescent="0.45">
      <c r="A1" s="420" t="str" cm="1">
        <f t="array" aca="1" ref="A1" ca="1">"Begroting – " &amp; MID(CELL("filename",$A$1),FIND("]",CELL("filename",$A$1))+1,255)&amp;IF(B5="","",": "&amp;B5)</f>
        <v>Begroting – Basisgegevens Aanvraag</v>
      </c>
      <c r="B1" s="420"/>
      <c r="C1" s="420"/>
      <c r="D1" s="420"/>
      <c r="E1" s="420"/>
      <c r="F1" s="420"/>
      <c r="G1" s="420"/>
      <c r="H1" s="420"/>
    </row>
    <row r="2" spans="1:8" ht="15" customHeight="1" thickBot="1" x14ac:dyDescent="0.25">
      <c r="H2" s="222" t="s">
        <v>149</v>
      </c>
    </row>
    <row r="3" spans="1:8" ht="15" customHeight="1" x14ac:dyDescent="0.2">
      <c r="A3" s="217" t="s">
        <v>170</v>
      </c>
      <c r="B3" s="421" t="s">
        <v>19</v>
      </c>
      <c r="C3" s="421"/>
      <c r="H3" s="337" t="str" cm="1">
        <f t="array" ref="H3">IF(Var_Sub.instr.="PPS-PGT","Let op: Subsidie-instrument 'PPS-Programmatoeslag' is verouderd! Nieuwe aanvragen worden niet gehonoreerd.",IF(AND(Var_Sub.instr.&lt;&gt;"[Maak een keuze]",Var_Sub.instr.&lt;&gt;"PPS-PGT",Var_Sub.instr.&lt;&gt;"PPS-I SP"),"Check altijd of er momenteel een call open is van dit Subsidie-instrument.",""))</f>
        <v/>
      </c>
    </row>
    <row r="4" spans="1:8" ht="15" customHeight="1" x14ac:dyDescent="0.2">
      <c r="A4" s="217" t="s">
        <v>0</v>
      </c>
      <c r="B4" s="422"/>
      <c r="C4" s="423"/>
      <c r="D4" s="219" t="s">
        <v>393</v>
      </c>
      <c r="H4" s="314" t="str">
        <f>IF(NOT(_xlfn.XLOOKUP($A8,Table_LuT_Deelnemers[ID Deelnemer],Table_LuT_Deelnemers[Check 006],"&lt;Not in Checks&gt;",0,1)),_xlfn.XLOOKUP("E-006",Table_Foutmeldingen[Nr. Foutmelding],Table_Foutmeldingen[Foutmelding],"&lt;Not in LuT Foutmeldingen&gt;",0,1),"")</f>
        <v/>
      </c>
    </row>
    <row r="5" spans="1:8" ht="15" customHeight="1" x14ac:dyDescent="0.2">
      <c r="A5" s="217" t="s">
        <v>10</v>
      </c>
      <c r="B5" s="421"/>
      <c r="C5" s="421"/>
      <c r="D5" s="219" t="s">
        <v>98</v>
      </c>
      <c r="H5" s="314" t="str">
        <f>IF(NOT(_xlfn.XLOOKUP($A8,Table_LuT_Deelnemers[ID Deelnemer],Table_LuT_Deelnemers[Check 007],"&lt;Not in Checks&gt;",0,1)),_xlfn.XLOOKUP("E-007",Table_Foutmeldingen[Nr. Foutmelding],Table_Foutmeldingen[Foutmelding],"&lt;Not in LuT Foutmeldingen&gt;",0,1),"")</f>
        <v/>
      </c>
    </row>
    <row r="6" spans="1:8" ht="15" customHeight="1" x14ac:dyDescent="0.2">
      <c r="A6" s="220"/>
      <c r="B6" s="214"/>
      <c r="C6" s="215"/>
      <c r="D6" s="216"/>
      <c r="H6" s="315"/>
    </row>
    <row r="7" spans="1:8" ht="51" x14ac:dyDescent="0.2">
      <c r="A7" s="217" t="s">
        <v>53</v>
      </c>
      <c r="B7" s="217" t="s">
        <v>51</v>
      </c>
      <c r="C7" s="221" t="s">
        <v>1</v>
      </c>
      <c r="D7" s="221" t="s">
        <v>328</v>
      </c>
      <c r="E7" s="221" t="s">
        <v>329</v>
      </c>
      <c r="F7" s="221" t="s">
        <v>330</v>
      </c>
      <c r="G7" s="221" t="s">
        <v>248</v>
      </c>
      <c r="H7" s="315"/>
    </row>
    <row r="8" spans="1:8" ht="15" customHeight="1" x14ac:dyDescent="0.2">
      <c r="A8" s="14" t="s">
        <v>58</v>
      </c>
      <c r="B8" s="250"/>
      <c r="C8" s="218" t="s">
        <v>19</v>
      </c>
      <c r="D8" s="252"/>
      <c r="E8" s="218"/>
      <c r="F8" s="218"/>
      <c r="G8" s="244"/>
      <c r="H8" s="314" t="str">
        <f>IF(NOT(_xlfn.XLOOKUP($A8,Table_LuT_Deelnemers[ID Deelnemer],Table_LuT_Deelnemers[Check 005],"&lt;Not in Checks&gt;",0,1)),_xlfn.XLOOKUP("E-005",Table_Foutmeldingen[Nr. Foutmelding],Table_Foutmeldingen[Foutmelding],"&lt;Not in LuT Foutmeldingen&gt;",0,1),
  IF(NOT(_xlfn.XLOOKUP($A8,Table_LuT_Deelnemers[ID Deelnemer],Table_LuT_Deelnemers[Check 011],"&lt;Not in Checks&gt;",0,1)),_xlfn.XLOOKUP("E-011",Table_Foutmeldingen[Nr. Foutmelding],Table_Foutmeldingen[Foutmelding],"&lt;Not in LuT Foutmeldingen&gt;",0,1),
  IF(NOT(_xlfn.XLOOKUP($A8,Table_LuT_Deelnemers[ID Deelnemer],Table_LuT_Deelnemers[Check 013],"&lt;Not in Checks&gt;",0,1)),_xlfn.XLOOKUP("E-013",Table_Foutmeldingen[Nr. Foutmelding],Table_Foutmeldingen[Foutmelding],"&lt;Not in LuT Foutmeldingen&gt;",0,1),
  IF(NOT(_xlfn.XLOOKUP($A8,Table_LuT_Deelnemers[ID Deelnemer],Table_LuT_Deelnemers[Check 015],"&lt;Not in Checks&gt;",0,1)),_xlfn.XLOOKUP("E-015",Table_Foutmeldingen[Nr. Foutmelding],Table_Foutmeldingen[Foutmelding],"&lt;Not in LuT Foutmeldingen&gt;",0,1),
  IF(NOT(_xlfn.XLOOKUP($A8,Table_LuT_Deelnemers[ID Deelnemer],Table_LuT_Deelnemers[Check 017],"&lt;Not in Checks&gt;",0,1)),_xlfn.XLOOKUP("E-017",Table_Foutmeldingen[Nr. Foutmelding],Table_Foutmeldingen[Foutmelding],"&lt;Not in LuT Foutmeldingen&gt;",0,1),
  IF(NOT(_xlfn.XLOOKUP($A8,Table_LuT_Deelnemers[ID Deelnemer],Table_LuT_Deelnemers[Check 020],"&lt;Not in Checks&gt;",0,1)),_xlfn.XLOOKUP("E-020",Table_Foutmeldingen[Nr. Foutmelding],Table_Foutmeldingen[Foutmelding],"&lt;Not in LuT Foutmeldingen&gt;",0,1),
  IF(NOT(_xlfn.XLOOKUP($A8,Table_LuT_Deelnemers[ID Deelnemer],Table_LuT_Deelnemers[Check 111],"&lt;Not in Checks&gt;",0,1)),_xlfn.XLOOKUP("E-111",Table_Foutmeldingen[Nr. Foutmelding],Table_Foutmeldingen[Foutmelding],"&lt;Not in LuT Foutmeldingen&gt;",0,1),
  IF(NOT(_xlfn.XLOOKUP($A8,Table_LuT_Deelnemers[ID Deelnemer],Table_LuT_Deelnemers[Check 121],"&lt;Not in Checks&gt;",0,1)),_xlfn.XLOOKUP("E-121",Table_Foutmeldingen[Nr. Foutmelding],Table_Foutmeldingen[Foutmelding],"&lt;Not in LuT Foutmeldingen&gt;",0,1),
  IF(NOT(_xlfn.XLOOKUP($A8,Table_LuT_Deelnemers[ID Deelnemer],Table_LuT_Deelnemers[Check 123],"&lt;Not in Checks&gt;",0,1)),_xlfn.XLOOKUP("E-123",Table_Foutmeldingen[Nr. Foutmelding],Table_Foutmeldingen[Foutmelding],"&lt;Not in LuT Foutmeldingen&gt;",0,1),
  IF(NOT(_xlfn.XLOOKUP($A8,Table_LuT_Deelnemers[ID Deelnemer],Table_LuT_Deelnemers[Check 124],"&lt;Not in Checks&gt;",0,1)),_xlfn.XLOOKUP("E-124",Table_Foutmeldingen[Nr. Foutmelding],Table_Foutmeldingen[Foutmelding],"&lt;Not in LuT Foutmeldingen&gt;",0,1),
  IF(NOT(_xlfn.XLOOKUP($A8,Table_LuT_Deelnemers[ID Deelnemer],Table_LuT_Deelnemers[Check 125],"&lt;Not in Checks&gt;",0,1)),_xlfn.XLOOKUP("E-125",Table_Foutmeldingen[Nr. Foutmelding],Table_Foutmeldingen[Foutmelding],"&lt;Not in LuT Foutmeldingen&gt;",0,1),
  IF(NOT(_xlfn.XLOOKUP($A8,Table_LuT_Deelnemers[ID Deelnemer],Table_LuT_Deelnemers[Check 190],"&lt;Not in Checks&gt;",0,1)),_xlfn.XLOOKUP("E-190",Table_Foutmeldingen[Nr. Foutmelding],Table_Foutmeldingen[Foutmelding],"&lt;Not in LuT Foutmeldingen&gt;",0,1),
  IF(NOT(_xlfn.XLOOKUP($A8,Table_LuT_Deelnemers[ID Deelnemer],Table_LuT_Deelnemers[Check 200],"&lt;Not in Checks&gt;",0,1)),_xlfn.XLOOKUP("E-200",Table_Foutmeldingen[Nr. Foutmelding],Table_Foutmeldingen[Foutmelding],"&lt;Not in LuT Foutmeldingen&gt;",0,1),
  "")))))))))))))</f>
        <v/>
      </c>
    </row>
    <row r="9" spans="1:8" ht="15" customHeight="1" x14ac:dyDescent="0.2">
      <c r="A9" s="14" t="s">
        <v>59</v>
      </c>
      <c r="B9" s="250"/>
      <c r="C9" s="218" t="s">
        <v>19</v>
      </c>
      <c r="D9" s="252"/>
      <c r="E9" s="218"/>
      <c r="F9" s="218"/>
      <c r="G9" s="244"/>
      <c r="H9" s="314" t="str">
        <f>IF(NOT(_xlfn.XLOOKUP($A9,Table_LuT_Deelnemers[ID Deelnemer],Table_LuT_Deelnemers[Check 005],"&lt;Not in Checks&gt;",0,1)),_xlfn.XLOOKUP("E-005",Table_Foutmeldingen[Nr. Foutmelding],Table_Foutmeldingen[Foutmelding],"&lt;Not in LuT Foutmeldingen&gt;",0,1),
  IF(NOT(_xlfn.XLOOKUP($A9,Table_LuT_Deelnemers[ID Deelnemer],Table_LuT_Deelnemers[Check 011],"&lt;Not in Checks&gt;",0,1)),_xlfn.XLOOKUP("E-011",Table_Foutmeldingen[Nr. Foutmelding],Table_Foutmeldingen[Foutmelding],"&lt;Not in LuT Foutmeldingen&gt;",0,1),
  IF(NOT(_xlfn.XLOOKUP($A9,Table_LuT_Deelnemers[ID Deelnemer],Table_LuT_Deelnemers[Check 013],"&lt;Not in Checks&gt;",0,1)),_xlfn.XLOOKUP("E-013",Table_Foutmeldingen[Nr. Foutmelding],Table_Foutmeldingen[Foutmelding],"&lt;Not in LuT Foutmeldingen&gt;",0,1),
  IF(NOT(_xlfn.XLOOKUP($A9,Table_LuT_Deelnemers[ID Deelnemer],Table_LuT_Deelnemers[Check 015],"&lt;Not in Checks&gt;",0,1)),_xlfn.XLOOKUP("E-015",Table_Foutmeldingen[Nr. Foutmelding],Table_Foutmeldingen[Foutmelding],"&lt;Not in LuT Foutmeldingen&gt;",0,1),
  IF(NOT(_xlfn.XLOOKUP($A9,Table_LuT_Deelnemers[ID Deelnemer],Table_LuT_Deelnemers[Check 017],"&lt;Not in Checks&gt;",0,1)),_xlfn.XLOOKUP("E-017",Table_Foutmeldingen[Nr. Foutmelding],Table_Foutmeldingen[Foutmelding],"&lt;Not in LuT Foutmeldingen&gt;",0,1),
  IF(NOT(_xlfn.XLOOKUP($A9,Table_LuT_Deelnemers[ID Deelnemer],Table_LuT_Deelnemers[Check 020],"&lt;Not in Checks&gt;",0,1)),_xlfn.XLOOKUP("E-020",Table_Foutmeldingen[Nr. Foutmelding],Table_Foutmeldingen[Foutmelding],"&lt;Not in LuT Foutmeldingen&gt;",0,1),
  IF(NOT(_xlfn.XLOOKUP($A9,Table_LuT_Deelnemers[ID Deelnemer],Table_LuT_Deelnemers[Check 111],"&lt;Not in Checks&gt;",0,1)),_xlfn.XLOOKUP("E-111",Table_Foutmeldingen[Nr. Foutmelding],Table_Foutmeldingen[Foutmelding],"&lt;Not in LuT Foutmeldingen&gt;",0,1),
  IF(NOT(_xlfn.XLOOKUP($A9,Table_LuT_Deelnemers[ID Deelnemer],Table_LuT_Deelnemers[Check 121],"&lt;Not in Checks&gt;",0,1)),_xlfn.XLOOKUP("E-121",Table_Foutmeldingen[Nr. Foutmelding],Table_Foutmeldingen[Foutmelding],"&lt;Not in LuT Foutmeldingen&gt;",0,1),
  IF(NOT(_xlfn.XLOOKUP($A9,Table_LuT_Deelnemers[ID Deelnemer],Table_LuT_Deelnemers[Check 123],"&lt;Not in Checks&gt;",0,1)),_xlfn.XLOOKUP("E-123",Table_Foutmeldingen[Nr. Foutmelding],Table_Foutmeldingen[Foutmelding],"&lt;Not in LuT Foutmeldingen&gt;",0,1),
  IF(NOT(_xlfn.XLOOKUP($A9,Table_LuT_Deelnemers[ID Deelnemer],Table_LuT_Deelnemers[Check 124],"&lt;Not in Checks&gt;",0,1)),_xlfn.XLOOKUP("E-124",Table_Foutmeldingen[Nr. Foutmelding],Table_Foutmeldingen[Foutmelding],"&lt;Not in LuT Foutmeldingen&gt;",0,1),
  IF(NOT(_xlfn.XLOOKUP($A9,Table_LuT_Deelnemers[ID Deelnemer],Table_LuT_Deelnemers[Check 125],"&lt;Not in Checks&gt;",0,1)),_xlfn.XLOOKUP("E-125",Table_Foutmeldingen[Nr. Foutmelding],Table_Foutmeldingen[Foutmelding],"&lt;Not in LuT Foutmeldingen&gt;",0,1),
  IF(NOT(_xlfn.XLOOKUP($A9,Table_LuT_Deelnemers[ID Deelnemer],Table_LuT_Deelnemers[Check 190],"&lt;Not in Checks&gt;",0,1)),_xlfn.XLOOKUP("E-190",Table_Foutmeldingen[Nr. Foutmelding],Table_Foutmeldingen[Foutmelding],"&lt;Not in LuT Foutmeldingen&gt;",0,1),
  IF(NOT(_xlfn.XLOOKUP($A9,Table_LuT_Deelnemers[ID Deelnemer],Table_LuT_Deelnemers[Check 200],"&lt;Not in Checks&gt;",0,1)),_xlfn.XLOOKUP("E-200",Table_Foutmeldingen[Nr. Foutmelding],Table_Foutmeldingen[Foutmelding],"&lt;Not in LuT Foutmeldingen&gt;",0,1),
  "")))))))))))))</f>
        <v/>
      </c>
    </row>
    <row r="10" spans="1:8" ht="15" customHeight="1" x14ac:dyDescent="0.2">
      <c r="A10" s="14" t="s">
        <v>60</v>
      </c>
      <c r="B10" s="250"/>
      <c r="C10" s="218" t="s">
        <v>19</v>
      </c>
      <c r="D10" s="252"/>
      <c r="E10" s="218"/>
      <c r="F10" s="218"/>
      <c r="G10" s="244"/>
      <c r="H10" s="314" t="str">
        <f>IF(NOT(_xlfn.XLOOKUP($A10,Table_LuT_Deelnemers[ID Deelnemer],Table_LuT_Deelnemers[Check 005],"&lt;Not in Checks&gt;",0,1)),_xlfn.XLOOKUP("E-005",Table_Foutmeldingen[Nr. Foutmelding],Table_Foutmeldingen[Foutmelding],"&lt;Not in LuT Foutmeldingen&gt;",0,1),
  IF(NOT(_xlfn.XLOOKUP($A10,Table_LuT_Deelnemers[ID Deelnemer],Table_LuT_Deelnemers[Check 011],"&lt;Not in Checks&gt;",0,1)),_xlfn.XLOOKUP("E-011",Table_Foutmeldingen[Nr. Foutmelding],Table_Foutmeldingen[Foutmelding],"&lt;Not in LuT Foutmeldingen&gt;",0,1),
  IF(NOT(_xlfn.XLOOKUP($A10,Table_LuT_Deelnemers[ID Deelnemer],Table_LuT_Deelnemers[Check 013],"&lt;Not in Checks&gt;",0,1)),_xlfn.XLOOKUP("E-013",Table_Foutmeldingen[Nr. Foutmelding],Table_Foutmeldingen[Foutmelding],"&lt;Not in LuT Foutmeldingen&gt;",0,1),
  IF(NOT(_xlfn.XLOOKUP($A10,Table_LuT_Deelnemers[ID Deelnemer],Table_LuT_Deelnemers[Check 015],"&lt;Not in Checks&gt;",0,1)),_xlfn.XLOOKUP("E-015",Table_Foutmeldingen[Nr. Foutmelding],Table_Foutmeldingen[Foutmelding],"&lt;Not in LuT Foutmeldingen&gt;",0,1),
  IF(NOT(_xlfn.XLOOKUP($A10,Table_LuT_Deelnemers[ID Deelnemer],Table_LuT_Deelnemers[Check 017],"&lt;Not in Checks&gt;",0,1)),_xlfn.XLOOKUP("E-017",Table_Foutmeldingen[Nr. Foutmelding],Table_Foutmeldingen[Foutmelding],"&lt;Not in LuT Foutmeldingen&gt;",0,1),
  IF(NOT(_xlfn.XLOOKUP($A10,Table_LuT_Deelnemers[ID Deelnemer],Table_LuT_Deelnemers[Check 020],"&lt;Not in Checks&gt;",0,1)),_xlfn.XLOOKUP("E-020",Table_Foutmeldingen[Nr. Foutmelding],Table_Foutmeldingen[Foutmelding],"&lt;Not in LuT Foutmeldingen&gt;",0,1),
  IF(NOT(_xlfn.XLOOKUP($A10,Table_LuT_Deelnemers[ID Deelnemer],Table_LuT_Deelnemers[Check 111],"&lt;Not in Checks&gt;",0,1)),_xlfn.XLOOKUP("E-111",Table_Foutmeldingen[Nr. Foutmelding],Table_Foutmeldingen[Foutmelding],"&lt;Not in LuT Foutmeldingen&gt;",0,1),
  IF(NOT(_xlfn.XLOOKUP($A10,Table_LuT_Deelnemers[ID Deelnemer],Table_LuT_Deelnemers[Check 121],"&lt;Not in Checks&gt;",0,1)),_xlfn.XLOOKUP("E-121",Table_Foutmeldingen[Nr. Foutmelding],Table_Foutmeldingen[Foutmelding],"&lt;Not in LuT Foutmeldingen&gt;",0,1),
  IF(NOT(_xlfn.XLOOKUP($A10,Table_LuT_Deelnemers[ID Deelnemer],Table_LuT_Deelnemers[Check 123],"&lt;Not in Checks&gt;",0,1)),_xlfn.XLOOKUP("E-123",Table_Foutmeldingen[Nr. Foutmelding],Table_Foutmeldingen[Foutmelding],"&lt;Not in LuT Foutmeldingen&gt;",0,1),
  IF(NOT(_xlfn.XLOOKUP($A10,Table_LuT_Deelnemers[ID Deelnemer],Table_LuT_Deelnemers[Check 124],"&lt;Not in Checks&gt;",0,1)),_xlfn.XLOOKUP("E-124",Table_Foutmeldingen[Nr. Foutmelding],Table_Foutmeldingen[Foutmelding],"&lt;Not in LuT Foutmeldingen&gt;",0,1),
  IF(NOT(_xlfn.XLOOKUP($A10,Table_LuT_Deelnemers[ID Deelnemer],Table_LuT_Deelnemers[Check 125],"&lt;Not in Checks&gt;",0,1)),_xlfn.XLOOKUP("E-125",Table_Foutmeldingen[Nr. Foutmelding],Table_Foutmeldingen[Foutmelding],"&lt;Not in LuT Foutmeldingen&gt;",0,1),
  IF(NOT(_xlfn.XLOOKUP($A10,Table_LuT_Deelnemers[ID Deelnemer],Table_LuT_Deelnemers[Check 190],"&lt;Not in Checks&gt;",0,1)),_xlfn.XLOOKUP("E-190",Table_Foutmeldingen[Nr. Foutmelding],Table_Foutmeldingen[Foutmelding],"&lt;Not in LuT Foutmeldingen&gt;",0,1),
  IF(NOT(_xlfn.XLOOKUP($A10,Table_LuT_Deelnemers[ID Deelnemer],Table_LuT_Deelnemers[Check 200],"&lt;Not in Checks&gt;",0,1)),_xlfn.XLOOKUP("E-200",Table_Foutmeldingen[Nr. Foutmelding],Table_Foutmeldingen[Foutmelding],"&lt;Not in LuT Foutmeldingen&gt;",0,1),
  "")))))))))))))</f>
        <v/>
      </c>
    </row>
    <row r="11" spans="1:8" ht="15" customHeight="1" x14ac:dyDescent="0.2">
      <c r="A11" s="14" t="s">
        <v>61</v>
      </c>
      <c r="B11" s="250"/>
      <c r="C11" s="218" t="s">
        <v>19</v>
      </c>
      <c r="D11" s="252"/>
      <c r="E11" s="218"/>
      <c r="F11" s="218"/>
      <c r="G11" s="244"/>
      <c r="H11" s="314" t="str">
        <f>IF(NOT(_xlfn.XLOOKUP($A11,Table_LuT_Deelnemers[ID Deelnemer],Table_LuT_Deelnemers[Check 005],"&lt;Not in Checks&gt;",0,1)),_xlfn.XLOOKUP("E-005",Table_Foutmeldingen[Nr. Foutmelding],Table_Foutmeldingen[Foutmelding],"&lt;Not in LuT Foutmeldingen&gt;",0,1),
  IF(NOT(_xlfn.XLOOKUP($A11,Table_LuT_Deelnemers[ID Deelnemer],Table_LuT_Deelnemers[Check 011],"&lt;Not in Checks&gt;",0,1)),_xlfn.XLOOKUP("E-011",Table_Foutmeldingen[Nr. Foutmelding],Table_Foutmeldingen[Foutmelding],"&lt;Not in LuT Foutmeldingen&gt;",0,1),
  IF(NOT(_xlfn.XLOOKUP($A11,Table_LuT_Deelnemers[ID Deelnemer],Table_LuT_Deelnemers[Check 013],"&lt;Not in Checks&gt;",0,1)),_xlfn.XLOOKUP("E-013",Table_Foutmeldingen[Nr. Foutmelding],Table_Foutmeldingen[Foutmelding],"&lt;Not in LuT Foutmeldingen&gt;",0,1),
  IF(NOT(_xlfn.XLOOKUP($A11,Table_LuT_Deelnemers[ID Deelnemer],Table_LuT_Deelnemers[Check 015],"&lt;Not in Checks&gt;",0,1)),_xlfn.XLOOKUP("E-015",Table_Foutmeldingen[Nr. Foutmelding],Table_Foutmeldingen[Foutmelding],"&lt;Not in LuT Foutmeldingen&gt;",0,1),
  IF(NOT(_xlfn.XLOOKUP($A11,Table_LuT_Deelnemers[ID Deelnemer],Table_LuT_Deelnemers[Check 017],"&lt;Not in Checks&gt;",0,1)),_xlfn.XLOOKUP("E-017",Table_Foutmeldingen[Nr. Foutmelding],Table_Foutmeldingen[Foutmelding],"&lt;Not in LuT Foutmeldingen&gt;",0,1),
  IF(NOT(_xlfn.XLOOKUP($A11,Table_LuT_Deelnemers[ID Deelnemer],Table_LuT_Deelnemers[Check 020],"&lt;Not in Checks&gt;",0,1)),_xlfn.XLOOKUP("E-020",Table_Foutmeldingen[Nr. Foutmelding],Table_Foutmeldingen[Foutmelding],"&lt;Not in LuT Foutmeldingen&gt;",0,1),
  IF(NOT(_xlfn.XLOOKUP($A11,Table_LuT_Deelnemers[ID Deelnemer],Table_LuT_Deelnemers[Check 111],"&lt;Not in Checks&gt;",0,1)),_xlfn.XLOOKUP("E-111",Table_Foutmeldingen[Nr. Foutmelding],Table_Foutmeldingen[Foutmelding],"&lt;Not in LuT Foutmeldingen&gt;",0,1),
  IF(NOT(_xlfn.XLOOKUP($A11,Table_LuT_Deelnemers[ID Deelnemer],Table_LuT_Deelnemers[Check 121],"&lt;Not in Checks&gt;",0,1)),_xlfn.XLOOKUP("E-121",Table_Foutmeldingen[Nr. Foutmelding],Table_Foutmeldingen[Foutmelding],"&lt;Not in LuT Foutmeldingen&gt;",0,1),
  IF(NOT(_xlfn.XLOOKUP($A11,Table_LuT_Deelnemers[ID Deelnemer],Table_LuT_Deelnemers[Check 123],"&lt;Not in Checks&gt;",0,1)),_xlfn.XLOOKUP("E-123",Table_Foutmeldingen[Nr. Foutmelding],Table_Foutmeldingen[Foutmelding],"&lt;Not in LuT Foutmeldingen&gt;",0,1),
  IF(NOT(_xlfn.XLOOKUP($A11,Table_LuT_Deelnemers[ID Deelnemer],Table_LuT_Deelnemers[Check 124],"&lt;Not in Checks&gt;",0,1)),_xlfn.XLOOKUP("E-124",Table_Foutmeldingen[Nr. Foutmelding],Table_Foutmeldingen[Foutmelding],"&lt;Not in LuT Foutmeldingen&gt;",0,1),
  IF(NOT(_xlfn.XLOOKUP($A11,Table_LuT_Deelnemers[ID Deelnemer],Table_LuT_Deelnemers[Check 125],"&lt;Not in Checks&gt;",0,1)),_xlfn.XLOOKUP("E-125",Table_Foutmeldingen[Nr. Foutmelding],Table_Foutmeldingen[Foutmelding],"&lt;Not in LuT Foutmeldingen&gt;",0,1),
  IF(NOT(_xlfn.XLOOKUP($A11,Table_LuT_Deelnemers[ID Deelnemer],Table_LuT_Deelnemers[Check 190],"&lt;Not in Checks&gt;",0,1)),_xlfn.XLOOKUP("E-190",Table_Foutmeldingen[Nr. Foutmelding],Table_Foutmeldingen[Foutmelding],"&lt;Not in LuT Foutmeldingen&gt;",0,1),
  IF(NOT(_xlfn.XLOOKUP($A11,Table_LuT_Deelnemers[ID Deelnemer],Table_LuT_Deelnemers[Check 200],"&lt;Not in Checks&gt;",0,1)),_xlfn.XLOOKUP("E-200",Table_Foutmeldingen[Nr. Foutmelding],Table_Foutmeldingen[Foutmelding],"&lt;Not in LuT Foutmeldingen&gt;",0,1),
  "")))))))))))))</f>
        <v/>
      </c>
    </row>
    <row r="12" spans="1:8" ht="15" customHeight="1" x14ac:dyDescent="0.2">
      <c r="A12" s="14" t="s">
        <v>62</v>
      </c>
      <c r="B12" s="250"/>
      <c r="C12" s="218" t="s">
        <v>19</v>
      </c>
      <c r="D12" s="252"/>
      <c r="E12" s="218"/>
      <c r="F12" s="218"/>
      <c r="G12" s="244"/>
      <c r="H12" s="314" t="str">
        <f>IF(NOT(_xlfn.XLOOKUP($A12,Table_LuT_Deelnemers[ID Deelnemer],Table_LuT_Deelnemers[Check 005],"&lt;Not in Checks&gt;",0,1)),_xlfn.XLOOKUP("E-005",Table_Foutmeldingen[Nr. Foutmelding],Table_Foutmeldingen[Foutmelding],"&lt;Not in LuT Foutmeldingen&gt;",0,1),
  IF(NOT(_xlfn.XLOOKUP($A12,Table_LuT_Deelnemers[ID Deelnemer],Table_LuT_Deelnemers[Check 011],"&lt;Not in Checks&gt;",0,1)),_xlfn.XLOOKUP("E-011",Table_Foutmeldingen[Nr. Foutmelding],Table_Foutmeldingen[Foutmelding],"&lt;Not in LuT Foutmeldingen&gt;",0,1),
  IF(NOT(_xlfn.XLOOKUP($A12,Table_LuT_Deelnemers[ID Deelnemer],Table_LuT_Deelnemers[Check 013],"&lt;Not in Checks&gt;",0,1)),_xlfn.XLOOKUP("E-013",Table_Foutmeldingen[Nr. Foutmelding],Table_Foutmeldingen[Foutmelding],"&lt;Not in LuT Foutmeldingen&gt;",0,1),
  IF(NOT(_xlfn.XLOOKUP($A12,Table_LuT_Deelnemers[ID Deelnemer],Table_LuT_Deelnemers[Check 015],"&lt;Not in Checks&gt;",0,1)),_xlfn.XLOOKUP("E-015",Table_Foutmeldingen[Nr. Foutmelding],Table_Foutmeldingen[Foutmelding],"&lt;Not in LuT Foutmeldingen&gt;",0,1),
  IF(NOT(_xlfn.XLOOKUP($A12,Table_LuT_Deelnemers[ID Deelnemer],Table_LuT_Deelnemers[Check 017],"&lt;Not in Checks&gt;",0,1)),_xlfn.XLOOKUP("E-017",Table_Foutmeldingen[Nr. Foutmelding],Table_Foutmeldingen[Foutmelding],"&lt;Not in LuT Foutmeldingen&gt;",0,1),
  IF(NOT(_xlfn.XLOOKUP($A12,Table_LuT_Deelnemers[ID Deelnemer],Table_LuT_Deelnemers[Check 020],"&lt;Not in Checks&gt;",0,1)),_xlfn.XLOOKUP("E-020",Table_Foutmeldingen[Nr. Foutmelding],Table_Foutmeldingen[Foutmelding],"&lt;Not in LuT Foutmeldingen&gt;",0,1),
  IF(NOT(_xlfn.XLOOKUP($A12,Table_LuT_Deelnemers[ID Deelnemer],Table_LuT_Deelnemers[Check 111],"&lt;Not in Checks&gt;",0,1)),_xlfn.XLOOKUP("E-111",Table_Foutmeldingen[Nr. Foutmelding],Table_Foutmeldingen[Foutmelding],"&lt;Not in LuT Foutmeldingen&gt;",0,1),
  IF(NOT(_xlfn.XLOOKUP($A12,Table_LuT_Deelnemers[ID Deelnemer],Table_LuT_Deelnemers[Check 121],"&lt;Not in Checks&gt;",0,1)),_xlfn.XLOOKUP("E-121",Table_Foutmeldingen[Nr. Foutmelding],Table_Foutmeldingen[Foutmelding],"&lt;Not in LuT Foutmeldingen&gt;",0,1),
  IF(NOT(_xlfn.XLOOKUP($A12,Table_LuT_Deelnemers[ID Deelnemer],Table_LuT_Deelnemers[Check 123],"&lt;Not in Checks&gt;",0,1)),_xlfn.XLOOKUP("E-123",Table_Foutmeldingen[Nr. Foutmelding],Table_Foutmeldingen[Foutmelding],"&lt;Not in LuT Foutmeldingen&gt;",0,1),
  IF(NOT(_xlfn.XLOOKUP($A12,Table_LuT_Deelnemers[ID Deelnemer],Table_LuT_Deelnemers[Check 124],"&lt;Not in Checks&gt;",0,1)),_xlfn.XLOOKUP("E-124",Table_Foutmeldingen[Nr. Foutmelding],Table_Foutmeldingen[Foutmelding],"&lt;Not in LuT Foutmeldingen&gt;",0,1),
  IF(NOT(_xlfn.XLOOKUP($A12,Table_LuT_Deelnemers[ID Deelnemer],Table_LuT_Deelnemers[Check 125],"&lt;Not in Checks&gt;",0,1)),_xlfn.XLOOKUP("E-125",Table_Foutmeldingen[Nr. Foutmelding],Table_Foutmeldingen[Foutmelding],"&lt;Not in LuT Foutmeldingen&gt;",0,1),
  IF(NOT(_xlfn.XLOOKUP($A12,Table_LuT_Deelnemers[ID Deelnemer],Table_LuT_Deelnemers[Check 190],"&lt;Not in Checks&gt;",0,1)),_xlfn.XLOOKUP("E-190",Table_Foutmeldingen[Nr. Foutmelding],Table_Foutmeldingen[Foutmelding],"&lt;Not in LuT Foutmeldingen&gt;",0,1),
  IF(NOT(_xlfn.XLOOKUP($A12,Table_LuT_Deelnemers[ID Deelnemer],Table_LuT_Deelnemers[Check 200],"&lt;Not in Checks&gt;",0,1)),_xlfn.XLOOKUP("E-200",Table_Foutmeldingen[Nr. Foutmelding],Table_Foutmeldingen[Foutmelding],"&lt;Not in LuT Foutmeldingen&gt;",0,1),
  "")))))))))))))</f>
        <v/>
      </c>
    </row>
    <row r="13" spans="1:8" ht="15" customHeight="1" x14ac:dyDescent="0.2">
      <c r="A13" s="14" t="s">
        <v>63</v>
      </c>
      <c r="B13" s="250"/>
      <c r="C13" s="218" t="s">
        <v>19</v>
      </c>
      <c r="D13" s="252"/>
      <c r="E13" s="218"/>
      <c r="F13" s="218"/>
      <c r="G13" s="244"/>
      <c r="H13" s="314" t="str">
        <f>IF(NOT(_xlfn.XLOOKUP($A13,Table_LuT_Deelnemers[ID Deelnemer],Table_LuT_Deelnemers[Check 005],"&lt;Not in Checks&gt;",0,1)),_xlfn.XLOOKUP("E-005",Table_Foutmeldingen[Nr. Foutmelding],Table_Foutmeldingen[Foutmelding],"&lt;Not in LuT Foutmeldingen&gt;",0,1),
  IF(NOT(_xlfn.XLOOKUP($A13,Table_LuT_Deelnemers[ID Deelnemer],Table_LuT_Deelnemers[Check 011],"&lt;Not in Checks&gt;",0,1)),_xlfn.XLOOKUP("E-011",Table_Foutmeldingen[Nr. Foutmelding],Table_Foutmeldingen[Foutmelding],"&lt;Not in LuT Foutmeldingen&gt;",0,1),
  IF(NOT(_xlfn.XLOOKUP($A13,Table_LuT_Deelnemers[ID Deelnemer],Table_LuT_Deelnemers[Check 013],"&lt;Not in Checks&gt;",0,1)),_xlfn.XLOOKUP("E-013",Table_Foutmeldingen[Nr. Foutmelding],Table_Foutmeldingen[Foutmelding],"&lt;Not in LuT Foutmeldingen&gt;",0,1),
  IF(NOT(_xlfn.XLOOKUP($A13,Table_LuT_Deelnemers[ID Deelnemer],Table_LuT_Deelnemers[Check 015],"&lt;Not in Checks&gt;",0,1)),_xlfn.XLOOKUP("E-015",Table_Foutmeldingen[Nr. Foutmelding],Table_Foutmeldingen[Foutmelding],"&lt;Not in LuT Foutmeldingen&gt;",0,1),
  IF(NOT(_xlfn.XLOOKUP($A13,Table_LuT_Deelnemers[ID Deelnemer],Table_LuT_Deelnemers[Check 017],"&lt;Not in Checks&gt;",0,1)),_xlfn.XLOOKUP("E-017",Table_Foutmeldingen[Nr. Foutmelding],Table_Foutmeldingen[Foutmelding],"&lt;Not in LuT Foutmeldingen&gt;",0,1),
  IF(NOT(_xlfn.XLOOKUP($A13,Table_LuT_Deelnemers[ID Deelnemer],Table_LuT_Deelnemers[Check 020],"&lt;Not in Checks&gt;",0,1)),_xlfn.XLOOKUP("E-020",Table_Foutmeldingen[Nr. Foutmelding],Table_Foutmeldingen[Foutmelding],"&lt;Not in LuT Foutmeldingen&gt;",0,1),
  IF(NOT(_xlfn.XLOOKUP($A13,Table_LuT_Deelnemers[ID Deelnemer],Table_LuT_Deelnemers[Check 111],"&lt;Not in Checks&gt;",0,1)),_xlfn.XLOOKUP("E-111",Table_Foutmeldingen[Nr. Foutmelding],Table_Foutmeldingen[Foutmelding],"&lt;Not in LuT Foutmeldingen&gt;",0,1),
  IF(NOT(_xlfn.XLOOKUP($A13,Table_LuT_Deelnemers[ID Deelnemer],Table_LuT_Deelnemers[Check 121],"&lt;Not in Checks&gt;",0,1)),_xlfn.XLOOKUP("E-121",Table_Foutmeldingen[Nr. Foutmelding],Table_Foutmeldingen[Foutmelding],"&lt;Not in LuT Foutmeldingen&gt;",0,1),
  IF(NOT(_xlfn.XLOOKUP($A13,Table_LuT_Deelnemers[ID Deelnemer],Table_LuT_Deelnemers[Check 123],"&lt;Not in Checks&gt;",0,1)),_xlfn.XLOOKUP("E-123",Table_Foutmeldingen[Nr. Foutmelding],Table_Foutmeldingen[Foutmelding],"&lt;Not in LuT Foutmeldingen&gt;",0,1),
  IF(NOT(_xlfn.XLOOKUP($A13,Table_LuT_Deelnemers[ID Deelnemer],Table_LuT_Deelnemers[Check 124],"&lt;Not in Checks&gt;",0,1)),_xlfn.XLOOKUP("E-124",Table_Foutmeldingen[Nr. Foutmelding],Table_Foutmeldingen[Foutmelding],"&lt;Not in LuT Foutmeldingen&gt;",0,1),
  IF(NOT(_xlfn.XLOOKUP($A13,Table_LuT_Deelnemers[ID Deelnemer],Table_LuT_Deelnemers[Check 125],"&lt;Not in Checks&gt;",0,1)),_xlfn.XLOOKUP("E-125",Table_Foutmeldingen[Nr. Foutmelding],Table_Foutmeldingen[Foutmelding],"&lt;Not in LuT Foutmeldingen&gt;",0,1),
  IF(NOT(_xlfn.XLOOKUP($A13,Table_LuT_Deelnemers[ID Deelnemer],Table_LuT_Deelnemers[Check 190],"&lt;Not in Checks&gt;",0,1)),_xlfn.XLOOKUP("E-190",Table_Foutmeldingen[Nr. Foutmelding],Table_Foutmeldingen[Foutmelding],"&lt;Not in LuT Foutmeldingen&gt;",0,1),
  IF(NOT(_xlfn.XLOOKUP($A13,Table_LuT_Deelnemers[ID Deelnemer],Table_LuT_Deelnemers[Check 200],"&lt;Not in Checks&gt;",0,1)),_xlfn.XLOOKUP("E-200",Table_Foutmeldingen[Nr. Foutmelding],Table_Foutmeldingen[Foutmelding],"&lt;Not in LuT Foutmeldingen&gt;",0,1),
  "")))))))))))))</f>
        <v/>
      </c>
    </row>
    <row r="14" spans="1:8" ht="15" customHeight="1" x14ac:dyDescent="0.2">
      <c r="A14" s="14" t="s">
        <v>64</v>
      </c>
      <c r="B14" s="250"/>
      <c r="C14" s="218" t="s">
        <v>19</v>
      </c>
      <c r="D14" s="252"/>
      <c r="E14" s="218"/>
      <c r="F14" s="218"/>
      <c r="G14" s="244"/>
      <c r="H14" s="314" t="str">
        <f>IF(NOT(_xlfn.XLOOKUP($A14,Table_LuT_Deelnemers[ID Deelnemer],Table_LuT_Deelnemers[Check 005],"&lt;Not in Checks&gt;",0,1)),_xlfn.XLOOKUP("E-005",Table_Foutmeldingen[Nr. Foutmelding],Table_Foutmeldingen[Foutmelding],"&lt;Not in LuT Foutmeldingen&gt;",0,1),
  IF(NOT(_xlfn.XLOOKUP($A14,Table_LuT_Deelnemers[ID Deelnemer],Table_LuT_Deelnemers[Check 011],"&lt;Not in Checks&gt;",0,1)),_xlfn.XLOOKUP("E-011",Table_Foutmeldingen[Nr. Foutmelding],Table_Foutmeldingen[Foutmelding],"&lt;Not in LuT Foutmeldingen&gt;",0,1),
  IF(NOT(_xlfn.XLOOKUP($A14,Table_LuT_Deelnemers[ID Deelnemer],Table_LuT_Deelnemers[Check 013],"&lt;Not in Checks&gt;",0,1)),_xlfn.XLOOKUP("E-013",Table_Foutmeldingen[Nr. Foutmelding],Table_Foutmeldingen[Foutmelding],"&lt;Not in LuT Foutmeldingen&gt;",0,1),
  IF(NOT(_xlfn.XLOOKUP($A14,Table_LuT_Deelnemers[ID Deelnemer],Table_LuT_Deelnemers[Check 015],"&lt;Not in Checks&gt;",0,1)),_xlfn.XLOOKUP("E-015",Table_Foutmeldingen[Nr. Foutmelding],Table_Foutmeldingen[Foutmelding],"&lt;Not in LuT Foutmeldingen&gt;",0,1),
  IF(NOT(_xlfn.XLOOKUP($A14,Table_LuT_Deelnemers[ID Deelnemer],Table_LuT_Deelnemers[Check 017],"&lt;Not in Checks&gt;",0,1)),_xlfn.XLOOKUP("E-017",Table_Foutmeldingen[Nr. Foutmelding],Table_Foutmeldingen[Foutmelding],"&lt;Not in LuT Foutmeldingen&gt;",0,1),
  IF(NOT(_xlfn.XLOOKUP($A14,Table_LuT_Deelnemers[ID Deelnemer],Table_LuT_Deelnemers[Check 020],"&lt;Not in Checks&gt;",0,1)),_xlfn.XLOOKUP("E-020",Table_Foutmeldingen[Nr. Foutmelding],Table_Foutmeldingen[Foutmelding],"&lt;Not in LuT Foutmeldingen&gt;",0,1),
  IF(NOT(_xlfn.XLOOKUP($A14,Table_LuT_Deelnemers[ID Deelnemer],Table_LuT_Deelnemers[Check 111],"&lt;Not in Checks&gt;",0,1)),_xlfn.XLOOKUP("E-111",Table_Foutmeldingen[Nr. Foutmelding],Table_Foutmeldingen[Foutmelding],"&lt;Not in LuT Foutmeldingen&gt;",0,1),
  IF(NOT(_xlfn.XLOOKUP($A14,Table_LuT_Deelnemers[ID Deelnemer],Table_LuT_Deelnemers[Check 121],"&lt;Not in Checks&gt;",0,1)),_xlfn.XLOOKUP("E-121",Table_Foutmeldingen[Nr. Foutmelding],Table_Foutmeldingen[Foutmelding],"&lt;Not in LuT Foutmeldingen&gt;",0,1),
  IF(NOT(_xlfn.XLOOKUP($A14,Table_LuT_Deelnemers[ID Deelnemer],Table_LuT_Deelnemers[Check 123],"&lt;Not in Checks&gt;",0,1)),_xlfn.XLOOKUP("E-123",Table_Foutmeldingen[Nr. Foutmelding],Table_Foutmeldingen[Foutmelding],"&lt;Not in LuT Foutmeldingen&gt;",0,1),
  IF(NOT(_xlfn.XLOOKUP($A14,Table_LuT_Deelnemers[ID Deelnemer],Table_LuT_Deelnemers[Check 124],"&lt;Not in Checks&gt;",0,1)),_xlfn.XLOOKUP("E-124",Table_Foutmeldingen[Nr. Foutmelding],Table_Foutmeldingen[Foutmelding],"&lt;Not in LuT Foutmeldingen&gt;",0,1),
  IF(NOT(_xlfn.XLOOKUP($A14,Table_LuT_Deelnemers[ID Deelnemer],Table_LuT_Deelnemers[Check 125],"&lt;Not in Checks&gt;",0,1)),_xlfn.XLOOKUP("E-125",Table_Foutmeldingen[Nr. Foutmelding],Table_Foutmeldingen[Foutmelding],"&lt;Not in LuT Foutmeldingen&gt;",0,1),
  IF(NOT(_xlfn.XLOOKUP($A14,Table_LuT_Deelnemers[ID Deelnemer],Table_LuT_Deelnemers[Check 190],"&lt;Not in Checks&gt;",0,1)),_xlfn.XLOOKUP("E-190",Table_Foutmeldingen[Nr. Foutmelding],Table_Foutmeldingen[Foutmelding],"&lt;Not in LuT Foutmeldingen&gt;",0,1),
  IF(NOT(_xlfn.XLOOKUP($A14,Table_LuT_Deelnemers[ID Deelnemer],Table_LuT_Deelnemers[Check 200],"&lt;Not in Checks&gt;",0,1)),_xlfn.XLOOKUP("E-200",Table_Foutmeldingen[Nr. Foutmelding],Table_Foutmeldingen[Foutmelding],"&lt;Not in LuT Foutmeldingen&gt;",0,1),
  "")))))))))))))</f>
        <v/>
      </c>
    </row>
    <row r="15" spans="1:8" ht="15" customHeight="1" x14ac:dyDescent="0.2">
      <c r="A15" s="14" t="s">
        <v>65</v>
      </c>
      <c r="B15" s="250"/>
      <c r="C15" s="218" t="s">
        <v>19</v>
      </c>
      <c r="D15" s="252"/>
      <c r="E15" s="218"/>
      <c r="F15" s="218"/>
      <c r="G15" s="244"/>
      <c r="H15" s="314" t="str">
        <f>IF(NOT(_xlfn.XLOOKUP($A15,Table_LuT_Deelnemers[ID Deelnemer],Table_LuT_Deelnemers[Check 005],"&lt;Not in Checks&gt;",0,1)),_xlfn.XLOOKUP("E-005",Table_Foutmeldingen[Nr. Foutmelding],Table_Foutmeldingen[Foutmelding],"&lt;Not in LuT Foutmeldingen&gt;",0,1),
  IF(NOT(_xlfn.XLOOKUP($A15,Table_LuT_Deelnemers[ID Deelnemer],Table_LuT_Deelnemers[Check 011],"&lt;Not in Checks&gt;",0,1)),_xlfn.XLOOKUP("E-011",Table_Foutmeldingen[Nr. Foutmelding],Table_Foutmeldingen[Foutmelding],"&lt;Not in LuT Foutmeldingen&gt;",0,1),
  IF(NOT(_xlfn.XLOOKUP($A15,Table_LuT_Deelnemers[ID Deelnemer],Table_LuT_Deelnemers[Check 013],"&lt;Not in Checks&gt;",0,1)),_xlfn.XLOOKUP("E-013",Table_Foutmeldingen[Nr. Foutmelding],Table_Foutmeldingen[Foutmelding],"&lt;Not in LuT Foutmeldingen&gt;",0,1),
  IF(NOT(_xlfn.XLOOKUP($A15,Table_LuT_Deelnemers[ID Deelnemer],Table_LuT_Deelnemers[Check 015],"&lt;Not in Checks&gt;",0,1)),_xlfn.XLOOKUP("E-015",Table_Foutmeldingen[Nr. Foutmelding],Table_Foutmeldingen[Foutmelding],"&lt;Not in LuT Foutmeldingen&gt;",0,1),
  IF(NOT(_xlfn.XLOOKUP($A15,Table_LuT_Deelnemers[ID Deelnemer],Table_LuT_Deelnemers[Check 017],"&lt;Not in Checks&gt;",0,1)),_xlfn.XLOOKUP("E-017",Table_Foutmeldingen[Nr. Foutmelding],Table_Foutmeldingen[Foutmelding],"&lt;Not in LuT Foutmeldingen&gt;",0,1),
  IF(NOT(_xlfn.XLOOKUP($A15,Table_LuT_Deelnemers[ID Deelnemer],Table_LuT_Deelnemers[Check 020],"&lt;Not in Checks&gt;",0,1)),_xlfn.XLOOKUP("E-020",Table_Foutmeldingen[Nr. Foutmelding],Table_Foutmeldingen[Foutmelding],"&lt;Not in LuT Foutmeldingen&gt;",0,1),
  IF(NOT(_xlfn.XLOOKUP($A15,Table_LuT_Deelnemers[ID Deelnemer],Table_LuT_Deelnemers[Check 111],"&lt;Not in Checks&gt;",0,1)),_xlfn.XLOOKUP("E-111",Table_Foutmeldingen[Nr. Foutmelding],Table_Foutmeldingen[Foutmelding],"&lt;Not in LuT Foutmeldingen&gt;",0,1),
  IF(NOT(_xlfn.XLOOKUP($A15,Table_LuT_Deelnemers[ID Deelnemer],Table_LuT_Deelnemers[Check 121],"&lt;Not in Checks&gt;",0,1)),_xlfn.XLOOKUP("E-121",Table_Foutmeldingen[Nr. Foutmelding],Table_Foutmeldingen[Foutmelding],"&lt;Not in LuT Foutmeldingen&gt;",0,1),
  IF(NOT(_xlfn.XLOOKUP($A15,Table_LuT_Deelnemers[ID Deelnemer],Table_LuT_Deelnemers[Check 123],"&lt;Not in Checks&gt;",0,1)),_xlfn.XLOOKUP("E-123",Table_Foutmeldingen[Nr. Foutmelding],Table_Foutmeldingen[Foutmelding],"&lt;Not in LuT Foutmeldingen&gt;",0,1),
  IF(NOT(_xlfn.XLOOKUP($A15,Table_LuT_Deelnemers[ID Deelnemer],Table_LuT_Deelnemers[Check 124],"&lt;Not in Checks&gt;",0,1)),_xlfn.XLOOKUP("E-124",Table_Foutmeldingen[Nr. Foutmelding],Table_Foutmeldingen[Foutmelding],"&lt;Not in LuT Foutmeldingen&gt;",0,1),
  IF(NOT(_xlfn.XLOOKUP($A15,Table_LuT_Deelnemers[ID Deelnemer],Table_LuT_Deelnemers[Check 125],"&lt;Not in Checks&gt;",0,1)),_xlfn.XLOOKUP("E-125",Table_Foutmeldingen[Nr. Foutmelding],Table_Foutmeldingen[Foutmelding],"&lt;Not in LuT Foutmeldingen&gt;",0,1),
  IF(NOT(_xlfn.XLOOKUP($A15,Table_LuT_Deelnemers[ID Deelnemer],Table_LuT_Deelnemers[Check 190],"&lt;Not in Checks&gt;",0,1)),_xlfn.XLOOKUP("E-190",Table_Foutmeldingen[Nr. Foutmelding],Table_Foutmeldingen[Foutmelding],"&lt;Not in LuT Foutmeldingen&gt;",0,1),
  IF(NOT(_xlfn.XLOOKUP($A15,Table_LuT_Deelnemers[ID Deelnemer],Table_LuT_Deelnemers[Check 200],"&lt;Not in Checks&gt;",0,1)),_xlfn.XLOOKUP("E-200",Table_Foutmeldingen[Nr. Foutmelding],Table_Foutmeldingen[Foutmelding],"&lt;Not in LuT Foutmeldingen&gt;",0,1),
  "")))))))))))))</f>
        <v/>
      </c>
    </row>
    <row r="16" spans="1:8" ht="15" customHeight="1" x14ac:dyDescent="0.2">
      <c r="A16" s="14" t="s">
        <v>66</v>
      </c>
      <c r="B16" s="250"/>
      <c r="C16" s="218" t="s">
        <v>19</v>
      </c>
      <c r="D16" s="252"/>
      <c r="E16" s="218"/>
      <c r="F16" s="218"/>
      <c r="G16" s="244"/>
      <c r="H16" s="314" t="str">
        <f>IF(NOT(_xlfn.XLOOKUP($A16,Table_LuT_Deelnemers[ID Deelnemer],Table_LuT_Deelnemers[Check 005],"&lt;Not in Checks&gt;",0,1)),_xlfn.XLOOKUP("E-005",Table_Foutmeldingen[Nr. Foutmelding],Table_Foutmeldingen[Foutmelding],"&lt;Not in LuT Foutmeldingen&gt;",0,1),
  IF(NOT(_xlfn.XLOOKUP($A16,Table_LuT_Deelnemers[ID Deelnemer],Table_LuT_Deelnemers[Check 011],"&lt;Not in Checks&gt;",0,1)),_xlfn.XLOOKUP("E-011",Table_Foutmeldingen[Nr. Foutmelding],Table_Foutmeldingen[Foutmelding],"&lt;Not in LuT Foutmeldingen&gt;",0,1),
  IF(NOT(_xlfn.XLOOKUP($A16,Table_LuT_Deelnemers[ID Deelnemer],Table_LuT_Deelnemers[Check 013],"&lt;Not in Checks&gt;",0,1)),_xlfn.XLOOKUP("E-013",Table_Foutmeldingen[Nr. Foutmelding],Table_Foutmeldingen[Foutmelding],"&lt;Not in LuT Foutmeldingen&gt;",0,1),
  IF(NOT(_xlfn.XLOOKUP($A16,Table_LuT_Deelnemers[ID Deelnemer],Table_LuT_Deelnemers[Check 015],"&lt;Not in Checks&gt;",0,1)),_xlfn.XLOOKUP("E-015",Table_Foutmeldingen[Nr. Foutmelding],Table_Foutmeldingen[Foutmelding],"&lt;Not in LuT Foutmeldingen&gt;",0,1),
  IF(NOT(_xlfn.XLOOKUP($A16,Table_LuT_Deelnemers[ID Deelnemer],Table_LuT_Deelnemers[Check 017],"&lt;Not in Checks&gt;",0,1)),_xlfn.XLOOKUP("E-017",Table_Foutmeldingen[Nr. Foutmelding],Table_Foutmeldingen[Foutmelding],"&lt;Not in LuT Foutmeldingen&gt;",0,1),
  IF(NOT(_xlfn.XLOOKUP($A16,Table_LuT_Deelnemers[ID Deelnemer],Table_LuT_Deelnemers[Check 020],"&lt;Not in Checks&gt;",0,1)),_xlfn.XLOOKUP("E-020",Table_Foutmeldingen[Nr. Foutmelding],Table_Foutmeldingen[Foutmelding],"&lt;Not in LuT Foutmeldingen&gt;",0,1),
  IF(NOT(_xlfn.XLOOKUP($A16,Table_LuT_Deelnemers[ID Deelnemer],Table_LuT_Deelnemers[Check 111],"&lt;Not in Checks&gt;",0,1)),_xlfn.XLOOKUP("E-111",Table_Foutmeldingen[Nr. Foutmelding],Table_Foutmeldingen[Foutmelding],"&lt;Not in LuT Foutmeldingen&gt;",0,1),
  IF(NOT(_xlfn.XLOOKUP($A16,Table_LuT_Deelnemers[ID Deelnemer],Table_LuT_Deelnemers[Check 121],"&lt;Not in Checks&gt;",0,1)),_xlfn.XLOOKUP("E-121",Table_Foutmeldingen[Nr. Foutmelding],Table_Foutmeldingen[Foutmelding],"&lt;Not in LuT Foutmeldingen&gt;",0,1),
  IF(NOT(_xlfn.XLOOKUP($A16,Table_LuT_Deelnemers[ID Deelnemer],Table_LuT_Deelnemers[Check 123],"&lt;Not in Checks&gt;",0,1)),_xlfn.XLOOKUP("E-123",Table_Foutmeldingen[Nr. Foutmelding],Table_Foutmeldingen[Foutmelding],"&lt;Not in LuT Foutmeldingen&gt;",0,1),
  IF(NOT(_xlfn.XLOOKUP($A16,Table_LuT_Deelnemers[ID Deelnemer],Table_LuT_Deelnemers[Check 124],"&lt;Not in Checks&gt;",0,1)),_xlfn.XLOOKUP("E-124",Table_Foutmeldingen[Nr. Foutmelding],Table_Foutmeldingen[Foutmelding],"&lt;Not in LuT Foutmeldingen&gt;",0,1),
  IF(NOT(_xlfn.XLOOKUP($A16,Table_LuT_Deelnemers[ID Deelnemer],Table_LuT_Deelnemers[Check 125],"&lt;Not in Checks&gt;",0,1)),_xlfn.XLOOKUP("E-125",Table_Foutmeldingen[Nr. Foutmelding],Table_Foutmeldingen[Foutmelding],"&lt;Not in LuT Foutmeldingen&gt;",0,1),
  IF(NOT(_xlfn.XLOOKUP($A16,Table_LuT_Deelnemers[ID Deelnemer],Table_LuT_Deelnemers[Check 190],"&lt;Not in Checks&gt;",0,1)),_xlfn.XLOOKUP("E-190",Table_Foutmeldingen[Nr. Foutmelding],Table_Foutmeldingen[Foutmelding],"&lt;Not in LuT Foutmeldingen&gt;",0,1),
  IF(NOT(_xlfn.XLOOKUP($A16,Table_LuT_Deelnemers[ID Deelnemer],Table_LuT_Deelnemers[Check 200],"&lt;Not in Checks&gt;",0,1)),_xlfn.XLOOKUP("E-200",Table_Foutmeldingen[Nr. Foutmelding],Table_Foutmeldingen[Foutmelding],"&lt;Not in LuT Foutmeldingen&gt;",0,1),
  "")))))))))))))</f>
        <v/>
      </c>
    </row>
    <row r="17" spans="1:13" ht="15" customHeight="1" x14ac:dyDescent="0.2">
      <c r="A17" s="14" t="s">
        <v>67</v>
      </c>
      <c r="B17" s="250"/>
      <c r="C17" s="218" t="s">
        <v>19</v>
      </c>
      <c r="D17" s="252"/>
      <c r="E17" s="218"/>
      <c r="F17" s="218"/>
      <c r="G17" s="244"/>
      <c r="H17" s="314" t="str">
        <f>IF(NOT(_xlfn.XLOOKUP($A17,Table_LuT_Deelnemers[ID Deelnemer],Table_LuT_Deelnemers[Check 005],"&lt;Not in Checks&gt;",0,1)),_xlfn.XLOOKUP("E-005",Table_Foutmeldingen[Nr. Foutmelding],Table_Foutmeldingen[Foutmelding],"&lt;Not in LuT Foutmeldingen&gt;",0,1),
  IF(NOT(_xlfn.XLOOKUP($A17,Table_LuT_Deelnemers[ID Deelnemer],Table_LuT_Deelnemers[Check 011],"&lt;Not in Checks&gt;",0,1)),_xlfn.XLOOKUP("E-011",Table_Foutmeldingen[Nr. Foutmelding],Table_Foutmeldingen[Foutmelding],"&lt;Not in LuT Foutmeldingen&gt;",0,1),
  IF(NOT(_xlfn.XLOOKUP($A17,Table_LuT_Deelnemers[ID Deelnemer],Table_LuT_Deelnemers[Check 013],"&lt;Not in Checks&gt;",0,1)),_xlfn.XLOOKUP("E-013",Table_Foutmeldingen[Nr. Foutmelding],Table_Foutmeldingen[Foutmelding],"&lt;Not in LuT Foutmeldingen&gt;",0,1),
  IF(NOT(_xlfn.XLOOKUP($A17,Table_LuT_Deelnemers[ID Deelnemer],Table_LuT_Deelnemers[Check 015],"&lt;Not in Checks&gt;",0,1)),_xlfn.XLOOKUP("E-015",Table_Foutmeldingen[Nr. Foutmelding],Table_Foutmeldingen[Foutmelding],"&lt;Not in LuT Foutmeldingen&gt;",0,1),
  IF(NOT(_xlfn.XLOOKUP($A17,Table_LuT_Deelnemers[ID Deelnemer],Table_LuT_Deelnemers[Check 017],"&lt;Not in Checks&gt;",0,1)),_xlfn.XLOOKUP("E-017",Table_Foutmeldingen[Nr. Foutmelding],Table_Foutmeldingen[Foutmelding],"&lt;Not in LuT Foutmeldingen&gt;",0,1),
  IF(NOT(_xlfn.XLOOKUP($A17,Table_LuT_Deelnemers[ID Deelnemer],Table_LuT_Deelnemers[Check 020],"&lt;Not in Checks&gt;",0,1)),_xlfn.XLOOKUP("E-020",Table_Foutmeldingen[Nr. Foutmelding],Table_Foutmeldingen[Foutmelding],"&lt;Not in LuT Foutmeldingen&gt;",0,1),
  IF(NOT(_xlfn.XLOOKUP($A17,Table_LuT_Deelnemers[ID Deelnemer],Table_LuT_Deelnemers[Check 111],"&lt;Not in Checks&gt;",0,1)),_xlfn.XLOOKUP("E-111",Table_Foutmeldingen[Nr. Foutmelding],Table_Foutmeldingen[Foutmelding],"&lt;Not in LuT Foutmeldingen&gt;",0,1),
  IF(NOT(_xlfn.XLOOKUP($A17,Table_LuT_Deelnemers[ID Deelnemer],Table_LuT_Deelnemers[Check 121],"&lt;Not in Checks&gt;",0,1)),_xlfn.XLOOKUP("E-121",Table_Foutmeldingen[Nr. Foutmelding],Table_Foutmeldingen[Foutmelding],"&lt;Not in LuT Foutmeldingen&gt;",0,1),
  IF(NOT(_xlfn.XLOOKUP($A17,Table_LuT_Deelnemers[ID Deelnemer],Table_LuT_Deelnemers[Check 123],"&lt;Not in Checks&gt;",0,1)),_xlfn.XLOOKUP("E-123",Table_Foutmeldingen[Nr. Foutmelding],Table_Foutmeldingen[Foutmelding],"&lt;Not in LuT Foutmeldingen&gt;",0,1),
  IF(NOT(_xlfn.XLOOKUP($A17,Table_LuT_Deelnemers[ID Deelnemer],Table_LuT_Deelnemers[Check 124],"&lt;Not in Checks&gt;",0,1)),_xlfn.XLOOKUP("E-124",Table_Foutmeldingen[Nr. Foutmelding],Table_Foutmeldingen[Foutmelding],"&lt;Not in LuT Foutmeldingen&gt;",0,1),
  IF(NOT(_xlfn.XLOOKUP($A17,Table_LuT_Deelnemers[ID Deelnemer],Table_LuT_Deelnemers[Check 125],"&lt;Not in Checks&gt;",0,1)),_xlfn.XLOOKUP("E-125",Table_Foutmeldingen[Nr. Foutmelding],Table_Foutmeldingen[Foutmelding],"&lt;Not in LuT Foutmeldingen&gt;",0,1),
  IF(NOT(_xlfn.XLOOKUP($A17,Table_LuT_Deelnemers[ID Deelnemer],Table_LuT_Deelnemers[Check 190],"&lt;Not in Checks&gt;",0,1)),_xlfn.XLOOKUP("E-190",Table_Foutmeldingen[Nr. Foutmelding],Table_Foutmeldingen[Foutmelding],"&lt;Not in LuT Foutmeldingen&gt;",0,1),
  IF(NOT(_xlfn.XLOOKUP($A17,Table_LuT_Deelnemers[ID Deelnemer],Table_LuT_Deelnemers[Check 200],"&lt;Not in Checks&gt;",0,1)),_xlfn.XLOOKUP("E-200",Table_Foutmeldingen[Nr. Foutmelding],Table_Foutmeldingen[Foutmelding],"&lt;Not in LuT Foutmeldingen&gt;",0,1),
  "")))))))))))))</f>
        <v/>
      </c>
    </row>
    <row r="18" spans="1:13" ht="15" customHeight="1" x14ac:dyDescent="0.2">
      <c r="A18" s="14" t="s">
        <v>189</v>
      </c>
      <c r="B18" s="250"/>
      <c r="C18" s="218" t="s">
        <v>19</v>
      </c>
      <c r="D18" s="252"/>
      <c r="E18" s="218"/>
      <c r="F18" s="218"/>
      <c r="G18" s="244"/>
      <c r="H18" s="314" t="str">
        <f>IF(NOT(_xlfn.XLOOKUP($A18,Table_LuT_Deelnemers[ID Deelnemer],Table_LuT_Deelnemers[Check 005],"&lt;Not in Checks&gt;",0,1)),_xlfn.XLOOKUP("E-005",Table_Foutmeldingen[Nr. Foutmelding],Table_Foutmeldingen[Foutmelding],"&lt;Not in LuT Foutmeldingen&gt;",0,1),
  IF(NOT(_xlfn.XLOOKUP($A18,Table_LuT_Deelnemers[ID Deelnemer],Table_LuT_Deelnemers[Check 011],"&lt;Not in Checks&gt;",0,1)),_xlfn.XLOOKUP("E-011",Table_Foutmeldingen[Nr. Foutmelding],Table_Foutmeldingen[Foutmelding],"&lt;Not in LuT Foutmeldingen&gt;",0,1),
  IF(NOT(_xlfn.XLOOKUP($A18,Table_LuT_Deelnemers[ID Deelnemer],Table_LuT_Deelnemers[Check 013],"&lt;Not in Checks&gt;",0,1)),_xlfn.XLOOKUP("E-013",Table_Foutmeldingen[Nr. Foutmelding],Table_Foutmeldingen[Foutmelding],"&lt;Not in LuT Foutmeldingen&gt;",0,1),
  IF(NOT(_xlfn.XLOOKUP($A18,Table_LuT_Deelnemers[ID Deelnemer],Table_LuT_Deelnemers[Check 015],"&lt;Not in Checks&gt;",0,1)),_xlfn.XLOOKUP("E-015",Table_Foutmeldingen[Nr. Foutmelding],Table_Foutmeldingen[Foutmelding],"&lt;Not in LuT Foutmeldingen&gt;",0,1),
  IF(NOT(_xlfn.XLOOKUP($A18,Table_LuT_Deelnemers[ID Deelnemer],Table_LuT_Deelnemers[Check 017],"&lt;Not in Checks&gt;",0,1)),_xlfn.XLOOKUP("E-017",Table_Foutmeldingen[Nr. Foutmelding],Table_Foutmeldingen[Foutmelding],"&lt;Not in LuT Foutmeldingen&gt;",0,1),
  IF(NOT(_xlfn.XLOOKUP($A18,Table_LuT_Deelnemers[ID Deelnemer],Table_LuT_Deelnemers[Check 020],"&lt;Not in Checks&gt;",0,1)),_xlfn.XLOOKUP("E-020",Table_Foutmeldingen[Nr. Foutmelding],Table_Foutmeldingen[Foutmelding],"&lt;Not in LuT Foutmeldingen&gt;",0,1),
  IF(NOT(_xlfn.XLOOKUP($A18,Table_LuT_Deelnemers[ID Deelnemer],Table_LuT_Deelnemers[Check 111],"&lt;Not in Checks&gt;",0,1)),_xlfn.XLOOKUP("E-111",Table_Foutmeldingen[Nr. Foutmelding],Table_Foutmeldingen[Foutmelding],"&lt;Not in LuT Foutmeldingen&gt;",0,1),
  IF(NOT(_xlfn.XLOOKUP($A18,Table_LuT_Deelnemers[ID Deelnemer],Table_LuT_Deelnemers[Check 121],"&lt;Not in Checks&gt;",0,1)),_xlfn.XLOOKUP("E-121",Table_Foutmeldingen[Nr. Foutmelding],Table_Foutmeldingen[Foutmelding],"&lt;Not in LuT Foutmeldingen&gt;",0,1),
  IF(NOT(_xlfn.XLOOKUP($A18,Table_LuT_Deelnemers[ID Deelnemer],Table_LuT_Deelnemers[Check 123],"&lt;Not in Checks&gt;",0,1)),_xlfn.XLOOKUP("E-123",Table_Foutmeldingen[Nr. Foutmelding],Table_Foutmeldingen[Foutmelding],"&lt;Not in LuT Foutmeldingen&gt;",0,1),
  IF(NOT(_xlfn.XLOOKUP($A18,Table_LuT_Deelnemers[ID Deelnemer],Table_LuT_Deelnemers[Check 124],"&lt;Not in Checks&gt;",0,1)),_xlfn.XLOOKUP("E-124",Table_Foutmeldingen[Nr. Foutmelding],Table_Foutmeldingen[Foutmelding],"&lt;Not in LuT Foutmeldingen&gt;",0,1),
  IF(NOT(_xlfn.XLOOKUP($A18,Table_LuT_Deelnemers[ID Deelnemer],Table_LuT_Deelnemers[Check 125],"&lt;Not in Checks&gt;",0,1)),_xlfn.XLOOKUP("E-125",Table_Foutmeldingen[Nr. Foutmelding],Table_Foutmeldingen[Foutmelding],"&lt;Not in LuT Foutmeldingen&gt;",0,1),
  IF(NOT(_xlfn.XLOOKUP($A18,Table_LuT_Deelnemers[ID Deelnemer],Table_LuT_Deelnemers[Check 190],"&lt;Not in Checks&gt;",0,1)),_xlfn.XLOOKUP("E-190",Table_Foutmeldingen[Nr. Foutmelding],Table_Foutmeldingen[Foutmelding],"&lt;Not in LuT Foutmeldingen&gt;",0,1),
  IF(NOT(_xlfn.XLOOKUP($A18,Table_LuT_Deelnemers[ID Deelnemer],Table_LuT_Deelnemers[Check 200],"&lt;Not in Checks&gt;",0,1)),_xlfn.XLOOKUP("E-200",Table_Foutmeldingen[Nr. Foutmelding],Table_Foutmeldingen[Foutmelding],"&lt;Not in LuT Foutmeldingen&gt;",0,1),
  "")))))))))))))</f>
        <v/>
      </c>
    </row>
    <row r="19" spans="1:13" ht="15" customHeight="1" x14ac:dyDescent="0.2">
      <c r="A19" s="14" t="s">
        <v>190</v>
      </c>
      <c r="B19" s="250"/>
      <c r="C19" s="218" t="s">
        <v>19</v>
      </c>
      <c r="D19" s="252"/>
      <c r="E19" s="218"/>
      <c r="F19" s="218"/>
      <c r="G19" s="244"/>
      <c r="H19" s="314" t="str">
        <f>IF(NOT(_xlfn.XLOOKUP($A19,Table_LuT_Deelnemers[ID Deelnemer],Table_LuT_Deelnemers[Check 005],"&lt;Not in Checks&gt;",0,1)),_xlfn.XLOOKUP("E-005",Table_Foutmeldingen[Nr. Foutmelding],Table_Foutmeldingen[Foutmelding],"&lt;Not in LuT Foutmeldingen&gt;",0,1),
  IF(NOT(_xlfn.XLOOKUP($A19,Table_LuT_Deelnemers[ID Deelnemer],Table_LuT_Deelnemers[Check 011],"&lt;Not in Checks&gt;",0,1)),_xlfn.XLOOKUP("E-011",Table_Foutmeldingen[Nr. Foutmelding],Table_Foutmeldingen[Foutmelding],"&lt;Not in LuT Foutmeldingen&gt;",0,1),
  IF(NOT(_xlfn.XLOOKUP($A19,Table_LuT_Deelnemers[ID Deelnemer],Table_LuT_Deelnemers[Check 013],"&lt;Not in Checks&gt;",0,1)),_xlfn.XLOOKUP("E-013",Table_Foutmeldingen[Nr. Foutmelding],Table_Foutmeldingen[Foutmelding],"&lt;Not in LuT Foutmeldingen&gt;",0,1),
  IF(NOT(_xlfn.XLOOKUP($A19,Table_LuT_Deelnemers[ID Deelnemer],Table_LuT_Deelnemers[Check 015],"&lt;Not in Checks&gt;",0,1)),_xlfn.XLOOKUP("E-015",Table_Foutmeldingen[Nr. Foutmelding],Table_Foutmeldingen[Foutmelding],"&lt;Not in LuT Foutmeldingen&gt;",0,1),
  IF(NOT(_xlfn.XLOOKUP($A19,Table_LuT_Deelnemers[ID Deelnemer],Table_LuT_Deelnemers[Check 017],"&lt;Not in Checks&gt;",0,1)),_xlfn.XLOOKUP("E-017",Table_Foutmeldingen[Nr. Foutmelding],Table_Foutmeldingen[Foutmelding],"&lt;Not in LuT Foutmeldingen&gt;",0,1),
  IF(NOT(_xlfn.XLOOKUP($A19,Table_LuT_Deelnemers[ID Deelnemer],Table_LuT_Deelnemers[Check 020],"&lt;Not in Checks&gt;",0,1)),_xlfn.XLOOKUP("E-020",Table_Foutmeldingen[Nr. Foutmelding],Table_Foutmeldingen[Foutmelding],"&lt;Not in LuT Foutmeldingen&gt;",0,1),
  IF(NOT(_xlfn.XLOOKUP($A19,Table_LuT_Deelnemers[ID Deelnemer],Table_LuT_Deelnemers[Check 111],"&lt;Not in Checks&gt;",0,1)),_xlfn.XLOOKUP("E-111",Table_Foutmeldingen[Nr. Foutmelding],Table_Foutmeldingen[Foutmelding],"&lt;Not in LuT Foutmeldingen&gt;",0,1),
  IF(NOT(_xlfn.XLOOKUP($A19,Table_LuT_Deelnemers[ID Deelnemer],Table_LuT_Deelnemers[Check 121],"&lt;Not in Checks&gt;",0,1)),_xlfn.XLOOKUP("E-121",Table_Foutmeldingen[Nr. Foutmelding],Table_Foutmeldingen[Foutmelding],"&lt;Not in LuT Foutmeldingen&gt;",0,1),
  IF(NOT(_xlfn.XLOOKUP($A19,Table_LuT_Deelnemers[ID Deelnemer],Table_LuT_Deelnemers[Check 123],"&lt;Not in Checks&gt;",0,1)),_xlfn.XLOOKUP("E-123",Table_Foutmeldingen[Nr. Foutmelding],Table_Foutmeldingen[Foutmelding],"&lt;Not in LuT Foutmeldingen&gt;",0,1),
  IF(NOT(_xlfn.XLOOKUP($A19,Table_LuT_Deelnemers[ID Deelnemer],Table_LuT_Deelnemers[Check 124],"&lt;Not in Checks&gt;",0,1)),_xlfn.XLOOKUP("E-124",Table_Foutmeldingen[Nr. Foutmelding],Table_Foutmeldingen[Foutmelding],"&lt;Not in LuT Foutmeldingen&gt;",0,1),
  IF(NOT(_xlfn.XLOOKUP($A19,Table_LuT_Deelnemers[ID Deelnemer],Table_LuT_Deelnemers[Check 125],"&lt;Not in Checks&gt;",0,1)),_xlfn.XLOOKUP("E-125",Table_Foutmeldingen[Nr. Foutmelding],Table_Foutmeldingen[Foutmelding],"&lt;Not in LuT Foutmeldingen&gt;",0,1),
  IF(NOT(_xlfn.XLOOKUP($A19,Table_LuT_Deelnemers[ID Deelnemer],Table_LuT_Deelnemers[Check 190],"&lt;Not in Checks&gt;",0,1)),_xlfn.XLOOKUP("E-190",Table_Foutmeldingen[Nr. Foutmelding],Table_Foutmeldingen[Foutmelding],"&lt;Not in LuT Foutmeldingen&gt;",0,1),
  IF(NOT(_xlfn.XLOOKUP($A19,Table_LuT_Deelnemers[ID Deelnemer],Table_LuT_Deelnemers[Check 200],"&lt;Not in Checks&gt;",0,1)),_xlfn.XLOOKUP("E-200",Table_Foutmeldingen[Nr. Foutmelding],Table_Foutmeldingen[Foutmelding],"&lt;Not in LuT Foutmeldingen&gt;",0,1),
  "")))))))))))))</f>
        <v/>
      </c>
    </row>
    <row r="20" spans="1:13" ht="15" customHeight="1" x14ac:dyDescent="0.2">
      <c r="A20" s="14" t="s">
        <v>191</v>
      </c>
      <c r="B20" s="250"/>
      <c r="C20" s="218" t="s">
        <v>19</v>
      </c>
      <c r="D20" s="252"/>
      <c r="E20" s="218"/>
      <c r="F20" s="218"/>
      <c r="G20" s="244"/>
      <c r="H20" s="314" t="str">
        <f>IF(NOT(_xlfn.XLOOKUP($A20,Table_LuT_Deelnemers[ID Deelnemer],Table_LuT_Deelnemers[Check 005],"&lt;Not in Checks&gt;",0,1)),_xlfn.XLOOKUP("E-005",Table_Foutmeldingen[Nr. Foutmelding],Table_Foutmeldingen[Foutmelding],"&lt;Not in LuT Foutmeldingen&gt;",0,1),
  IF(NOT(_xlfn.XLOOKUP($A20,Table_LuT_Deelnemers[ID Deelnemer],Table_LuT_Deelnemers[Check 011],"&lt;Not in Checks&gt;",0,1)),_xlfn.XLOOKUP("E-011",Table_Foutmeldingen[Nr. Foutmelding],Table_Foutmeldingen[Foutmelding],"&lt;Not in LuT Foutmeldingen&gt;",0,1),
  IF(NOT(_xlfn.XLOOKUP($A20,Table_LuT_Deelnemers[ID Deelnemer],Table_LuT_Deelnemers[Check 013],"&lt;Not in Checks&gt;",0,1)),_xlfn.XLOOKUP("E-013",Table_Foutmeldingen[Nr. Foutmelding],Table_Foutmeldingen[Foutmelding],"&lt;Not in LuT Foutmeldingen&gt;",0,1),
  IF(NOT(_xlfn.XLOOKUP($A20,Table_LuT_Deelnemers[ID Deelnemer],Table_LuT_Deelnemers[Check 015],"&lt;Not in Checks&gt;",0,1)),_xlfn.XLOOKUP("E-015",Table_Foutmeldingen[Nr. Foutmelding],Table_Foutmeldingen[Foutmelding],"&lt;Not in LuT Foutmeldingen&gt;",0,1),
  IF(NOT(_xlfn.XLOOKUP($A20,Table_LuT_Deelnemers[ID Deelnemer],Table_LuT_Deelnemers[Check 017],"&lt;Not in Checks&gt;",0,1)),_xlfn.XLOOKUP("E-017",Table_Foutmeldingen[Nr. Foutmelding],Table_Foutmeldingen[Foutmelding],"&lt;Not in LuT Foutmeldingen&gt;",0,1),
  IF(NOT(_xlfn.XLOOKUP($A20,Table_LuT_Deelnemers[ID Deelnemer],Table_LuT_Deelnemers[Check 020],"&lt;Not in Checks&gt;",0,1)),_xlfn.XLOOKUP("E-020",Table_Foutmeldingen[Nr. Foutmelding],Table_Foutmeldingen[Foutmelding],"&lt;Not in LuT Foutmeldingen&gt;",0,1),
  IF(NOT(_xlfn.XLOOKUP($A20,Table_LuT_Deelnemers[ID Deelnemer],Table_LuT_Deelnemers[Check 111],"&lt;Not in Checks&gt;",0,1)),_xlfn.XLOOKUP("E-111",Table_Foutmeldingen[Nr. Foutmelding],Table_Foutmeldingen[Foutmelding],"&lt;Not in LuT Foutmeldingen&gt;",0,1),
  IF(NOT(_xlfn.XLOOKUP($A20,Table_LuT_Deelnemers[ID Deelnemer],Table_LuT_Deelnemers[Check 121],"&lt;Not in Checks&gt;",0,1)),_xlfn.XLOOKUP("E-121",Table_Foutmeldingen[Nr. Foutmelding],Table_Foutmeldingen[Foutmelding],"&lt;Not in LuT Foutmeldingen&gt;",0,1),
  IF(NOT(_xlfn.XLOOKUP($A20,Table_LuT_Deelnemers[ID Deelnemer],Table_LuT_Deelnemers[Check 123],"&lt;Not in Checks&gt;",0,1)),_xlfn.XLOOKUP("E-123",Table_Foutmeldingen[Nr. Foutmelding],Table_Foutmeldingen[Foutmelding],"&lt;Not in LuT Foutmeldingen&gt;",0,1),
  IF(NOT(_xlfn.XLOOKUP($A20,Table_LuT_Deelnemers[ID Deelnemer],Table_LuT_Deelnemers[Check 124],"&lt;Not in Checks&gt;",0,1)),_xlfn.XLOOKUP("E-124",Table_Foutmeldingen[Nr. Foutmelding],Table_Foutmeldingen[Foutmelding],"&lt;Not in LuT Foutmeldingen&gt;",0,1),
  IF(NOT(_xlfn.XLOOKUP($A20,Table_LuT_Deelnemers[ID Deelnemer],Table_LuT_Deelnemers[Check 125],"&lt;Not in Checks&gt;",0,1)),_xlfn.XLOOKUP("E-125",Table_Foutmeldingen[Nr. Foutmelding],Table_Foutmeldingen[Foutmelding],"&lt;Not in LuT Foutmeldingen&gt;",0,1),
  IF(NOT(_xlfn.XLOOKUP($A20,Table_LuT_Deelnemers[ID Deelnemer],Table_LuT_Deelnemers[Check 190],"&lt;Not in Checks&gt;",0,1)),_xlfn.XLOOKUP("E-190",Table_Foutmeldingen[Nr. Foutmelding],Table_Foutmeldingen[Foutmelding],"&lt;Not in LuT Foutmeldingen&gt;",0,1),
  IF(NOT(_xlfn.XLOOKUP($A20,Table_LuT_Deelnemers[ID Deelnemer],Table_LuT_Deelnemers[Check 200],"&lt;Not in Checks&gt;",0,1)),_xlfn.XLOOKUP("E-200",Table_Foutmeldingen[Nr. Foutmelding],Table_Foutmeldingen[Foutmelding],"&lt;Not in LuT Foutmeldingen&gt;",0,1),
  "")))))))))))))</f>
        <v/>
      </c>
    </row>
    <row r="21" spans="1:13" ht="15" customHeight="1" x14ac:dyDescent="0.2">
      <c r="A21" s="14" t="s">
        <v>192</v>
      </c>
      <c r="B21" s="250"/>
      <c r="C21" s="218" t="s">
        <v>19</v>
      </c>
      <c r="D21" s="252"/>
      <c r="E21" s="218"/>
      <c r="F21" s="218"/>
      <c r="G21" s="244"/>
      <c r="H21" s="314" t="str">
        <f>IF(NOT(_xlfn.XLOOKUP($A21,Table_LuT_Deelnemers[ID Deelnemer],Table_LuT_Deelnemers[Check 005],"&lt;Not in Checks&gt;",0,1)),_xlfn.XLOOKUP("E-005",Table_Foutmeldingen[Nr. Foutmelding],Table_Foutmeldingen[Foutmelding],"&lt;Not in LuT Foutmeldingen&gt;",0,1),
  IF(NOT(_xlfn.XLOOKUP($A21,Table_LuT_Deelnemers[ID Deelnemer],Table_LuT_Deelnemers[Check 011],"&lt;Not in Checks&gt;",0,1)),_xlfn.XLOOKUP("E-011",Table_Foutmeldingen[Nr. Foutmelding],Table_Foutmeldingen[Foutmelding],"&lt;Not in LuT Foutmeldingen&gt;",0,1),
  IF(NOT(_xlfn.XLOOKUP($A21,Table_LuT_Deelnemers[ID Deelnemer],Table_LuT_Deelnemers[Check 013],"&lt;Not in Checks&gt;",0,1)),_xlfn.XLOOKUP("E-013",Table_Foutmeldingen[Nr. Foutmelding],Table_Foutmeldingen[Foutmelding],"&lt;Not in LuT Foutmeldingen&gt;",0,1),
  IF(NOT(_xlfn.XLOOKUP($A21,Table_LuT_Deelnemers[ID Deelnemer],Table_LuT_Deelnemers[Check 015],"&lt;Not in Checks&gt;",0,1)),_xlfn.XLOOKUP("E-015",Table_Foutmeldingen[Nr. Foutmelding],Table_Foutmeldingen[Foutmelding],"&lt;Not in LuT Foutmeldingen&gt;",0,1),
  IF(NOT(_xlfn.XLOOKUP($A21,Table_LuT_Deelnemers[ID Deelnemer],Table_LuT_Deelnemers[Check 017],"&lt;Not in Checks&gt;",0,1)),_xlfn.XLOOKUP("E-017",Table_Foutmeldingen[Nr. Foutmelding],Table_Foutmeldingen[Foutmelding],"&lt;Not in LuT Foutmeldingen&gt;",0,1),
  IF(NOT(_xlfn.XLOOKUP($A21,Table_LuT_Deelnemers[ID Deelnemer],Table_LuT_Deelnemers[Check 020],"&lt;Not in Checks&gt;",0,1)),_xlfn.XLOOKUP("E-020",Table_Foutmeldingen[Nr. Foutmelding],Table_Foutmeldingen[Foutmelding],"&lt;Not in LuT Foutmeldingen&gt;",0,1),
  IF(NOT(_xlfn.XLOOKUP($A21,Table_LuT_Deelnemers[ID Deelnemer],Table_LuT_Deelnemers[Check 111],"&lt;Not in Checks&gt;",0,1)),_xlfn.XLOOKUP("E-111",Table_Foutmeldingen[Nr. Foutmelding],Table_Foutmeldingen[Foutmelding],"&lt;Not in LuT Foutmeldingen&gt;",0,1),
  IF(NOT(_xlfn.XLOOKUP($A21,Table_LuT_Deelnemers[ID Deelnemer],Table_LuT_Deelnemers[Check 121],"&lt;Not in Checks&gt;",0,1)),_xlfn.XLOOKUP("E-121",Table_Foutmeldingen[Nr. Foutmelding],Table_Foutmeldingen[Foutmelding],"&lt;Not in LuT Foutmeldingen&gt;",0,1),
  IF(NOT(_xlfn.XLOOKUP($A21,Table_LuT_Deelnemers[ID Deelnemer],Table_LuT_Deelnemers[Check 123],"&lt;Not in Checks&gt;",0,1)),_xlfn.XLOOKUP("E-123",Table_Foutmeldingen[Nr. Foutmelding],Table_Foutmeldingen[Foutmelding],"&lt;Not in LuT Foutmeldingen&gt;",0,1),
  IF(NOT(_xlfn.XLOOKUP($A21,Table_LuT_Deelnemers[ID Deelnemer],Table_LuT_Deelnemers[Check 124],"&lt;Not in Checks&gt;",0,1)),_xlfn.XLOOKUP("E-124",Table_Foutmeldingen[Nr. Foutmelding],Table_Foutmeldingen[Foutmelding],"&lt;Not in LuT Foutmeldingen&gt;",0,1),
  IF(NOT(_xlfn.XLOOKUP($A21,Table_LuT_Deelnemers[ID Deelnemer],Table_LuT_Deelnemers[Check 125],"&lt;Not in Checks&gt;",0,1)),_xlfn.XLOOKUP("E-125",Table_Foutmeldingen[Nr. Foutmelding],Table_Foutmeldingen[Foutmelding],"&lt;Not in LuT Foutmeldingen&gt;",0,1),
  IF(NOT(_xlfn.XLOOKUP($A21,Table_LuT_Deelnemers[ID Deelnemer],Table_LuT_Deelnemers[Check 190],"&lt;Not in Checks&gt;",0,1)),_xlfn.XLOOKUP("E-190",Table_Foutmeldingen[Nr. Foutmelding],Table_Foutmeldingen[Foutmelding],"&lt;Not in LuT Foutmeldingen&gt;",0,1),
  IF(NOT(_xlfn.XLOOKUP($A21,Table_LuT_Deelnemers[ID Deelnemer],Table_LuT_Deelnemers[Check 200],"&lt;Not in Checks&gt;",0,1)),_xlfn.XLOOKUP("E-200",Table_Foutmeldingen[Nr. Foutmelding],Table_Foutmeldingen[Foutmelding],"&lt;Not in LuT Foutmeldingen&gt;",0,1),
  "")))))))))))))</f>
        <v/>
      </c>
    </row>
    <row r="22" spans="1:13" ht="15" customHeight="1" x14ac:dyDescent="0.2">
      <c r="A22" s="14" t="s">
        <v>193</v>
      </c>
      <c r="B22" s="250"/>
      <c r="C22" s="218" t="s">
        <v>19</v>
      </c>
      <c r="D22" s="252"/>
      <c r="E22" s="218"/>
      <c r="F22" s="218"/>
      <c r="G22" s="244"/>
      <c r="H22" s="314" t="str">
        <f>IF(NOT(_xlfn.XLOOKUP($A22,Table_LuT_Deelnemers[ID Deelnemer],Table_LuT_Deelnemers[Check 005],"&lt;Not in Checks&gt;",0,1)),_xlfn.XLOOKUP("E-005",Table_Foutmeldingen[Nr. Foutmelding],Table_Foutmeldingen[Foutmelding],"&lt;Not in LuT Foutmeldingen&gt;",0,1),
  IF(NOT(_xlfn.XLOOKUP($A22,Table_LuT_Deelnemers[ID Deelnemer],Table_LuT_Deelnemers[Check 011],"&lt;Not in Checks&gt;",0,1)),_xlfn.XLOOKUP("E-011",Table_Foutmeldingen[Nr. Foutmelding],Table_Foutmeldingen[Foutmelding],"&lt;Not in LuT Foutmeldingen&gt;",0,1),
  IF(NOT(_xlfn.XLOOKUP($A22,Table_LuT_Deelnemers[ID Deelnemer],Table_LuT_Deelnemers[Check 013],"&lt;Not in Checks&gt;",0,1)),_xlfn.XLOOKUP("E-013",Table_Foutmeldingen[Nr. Foutmelding],Table_Foutmeldingen[Foutmelding],"&lt;Not in LuT Foutmeldingen&gt;",0,1),
  IF(NOT(_xlfn.XLOOKUP($A22,Table_LuT_Deelnemers[ID Deelnemer],Table_LuT_Deelnemers[Check 015],"&lt;Not in Checks&gt;",0,1)),_xlfn.XLOOKUP("E-015",Table_Foutmeldingen[Nr. Foutmelding],Table_Foutmeldingen[Foutmelding],"&lt;Not in LuT Foutmeldingen&gt;",0,1),
  IF(NOT(_xlfn.XLOOKUP($A22,Table_LuT_Deelnemers[ID Deelnemer],Table_LuT_Deelnemers[Check 017],"&lt;Not in Checks&gt;",0,1)),_xlfn.XLOOKUP("E-017",Table_Foutmeldingen[Nr. Foutmelding],Table_Foutmeldingen[Foutmelding],"&lt;Not in LuT Foutmeldingen&gt;",0,1),
  IF(NOT(_xlfn.XLOOKUP($A22,Table_LuT_Deelnemers[ID Deelnemer],Table_LuT_Deelnemers[Check 020],"&lt;Not in Checks&gt;",0,1)),_xlfn.XLOOKUP("E-020",Table_Foutmeldingen[Nr. Foutmelding],Table_Foutmeldingen[Foutmelding],"&lt;Not in LuT Foutmeldingen&gt;",0,1),
  IF(NOT(_xlfn.XLOOKUP($A22,Table_LuT_Deelnemers[ID Deelnemer],Table_LuT_Deelnemers[Check 111],"&lt;Not in Checks&gt;",0,1)),_xlfn.XLOOKUP("E-111",Table_Foutmeldingen[Nr. Foutmelding],Table_Foutmeldingen[Foutmelding],"&lt;Not in LuT Foutmeldingen&gt;",0,1),
  IF(NOT(_xlfn.XLOOKUP($A22,Table_LuT_Deelnemers[ID Deelnemer],Table_LuT_Deelnemers[Check 121],"&lt;Not in Checks&gt;",0,1)),_xlfn.XLOOKUP("E-121",Table_Foutmeldingen[Nr. Foutmelding],Table_Foutmeldingen[Foutmelding],"&lt;Not in LuT Foutmeldingen&gt;",0,1),
  IF(NOT(_xlfn.XLOOKUP($A22,Table_LuT_Deelnemers[ID Deelnemer],Table_LuT_Deelnemers[Check 123],"&lt;Not in Checks&gt;",0,1)),_xlfn.XLOOKUP("E-123",Table_Foutmeldingen[Nr. Foutmelding],Table_Foutmeldingen[Foutmelding],"&lt;Not in LuT Foutmeldingen&gt;",0,1),
  IF(NOT(_xlfn.XLOOKUP($A22,Table_LuT_Deelnemers[ID Deelnemer],Table_LuT_Deelnemers[Check 124],"&lt;Not in Checks&gt;",0,1)),_xlfn.XLOOKUP("E-124",Table_Foutmeldingen[Nr. Foutmelding],Table_Foutmeldingen[Foutmelding],"&lt;Not in LuT Foutmeldingen&gt;",0,1),
  IF(NOT(_xlfn.XLOOKUP($A22,Table_LuT_Deelnemers[ID Deelnemer],Table_LuT_Deelnemers[Check 125],"&lt;Not in Checks&gt;",0,1)),_xlfn.XLOOKUP("E-125",Table_Foutmeldingen[Nr. Foutmelding],Table_Foutmeldingen[Foutmelding],"&lt;Not in LuT Foutmeldingen&gt;",0,1),
  IF(NOT(_xlfn.XLOOKUP($A22,Table_LuT_Deelnemers[ID Deelnemer],Table_LuT_Deelnemers[Check 190],"&lt;Not in Checks&gt;",0,1)),_xlfn.XLOOKUP("E-190",Table_Foutmeldingen[Nr. Foutmelding],Table_Foutmeldingen[Foutmelding],"&lt;Not in LuT Foutmeldingen&gt;",0,1),
  IF(NOT(_xlfn.XLOOKUP($A22,Table_LuT_Deelnemers[ID Deelnemer],Table_LuT_Deelnemers[Check 200],"&lt;Not in Checks&gt;",0,1)),_xlfn.XLOOKUP("E-200",Table_Foutmeldingen[Nr. Foutmelding],Table_Foutmeldingen[Foutmelding],"&lt;Not in LuT Foutmeldingen&gt;",0,1),
  "")))))))))))))</f>
        <v/>
      </c>
    </row>
    <row r="23" spans="1:13" ht="15" customHeight="1" x14ac:dyDescent="0.2">
      <c r="A23" s="14" t="s">
        <v>194</v>
      </c>
      <c r="B23" s="218"/>
      <c r="C23" s="218" t="s">
        <v>19</v>
      </c>
      <c r="D23" s="244"/>
      <c r="E23" s="218"/>
      <c r="F23" s="218"/>
      <c r="G23" s="244"/>
      <c r="H23" s="314" t="str">
        <f>IF(NOT(_xlfn.XLOOKUP($A23,Table_LuT_Deelnemers[ID Deelnemer],Table_LuT_Deelnemers[Check 005],"&lt;Not in Checks&gt;",0,1)),_xlfn.XLOOKUP("E-005",Table_Foutmeldingen[Nr. Foutmelding],Table_Foutmeldingen[Foutmelding],"&lt;Not in LuT Foutmeldingen&gt;",0,1),
  IF(NOT(_xlfn.XLOOKUP($A23,Table_LuT_Deelnemers[ID Deelnemer],Table_LuT_Deelnemers[Check 011],"&lt;Not in Checks&gt;",0,1)),_xlfn.XLOOKUP("E-011",Table_Foutmeldingen[Nr. Foutmelding],Table_Foutmeldingen[Foutmelding],"&lt;Not in LuT Foutmeldingen&gt;",0,1),
  IF(NOT(_xlfn.XLOOKUP($A23,Table_LuT_Deelnemers[ID Deelnemer],Table_LuT_Deelnemers[Check 013],"&lt;Not in Checks&gt;",0,1)),_xlfn.XLOOKUP("E-013",Table_Foutmeldingen[Nr. Foutmelding],Table_Foutmeldingen[Foutmelding],"&lt;Not in LuT Foutmeldingen&gt;",0,1),
  IF(NOT(_xlfn.XLOOKUP($A23,Table_LuT_Deelnemers[ID Deelnemer],Table_LuT_Deelnemers[Check 015],"&lt;Not in Checks&gt;",0,1)),_xlfn.XLOOKUP("E-015",Table_Foutmeldingen[Nr. Foutmelding],Table_Foutmeldingen[Foutmelding],"&lt;Not in LuT Foutmeldingen&gt;",0,1),
  IF(NOT(_xlfn.XLOOKUP($A23,Table_LuT_Deelnemers[ID Deelnemer],Table_LuT_Deelnemers[Check 017],"&lt;Not in Checks&gt;",0,1)),_xlfn.XLOOKUP("E-017",Table_Foutmeldingen[Nr. Foutmelding],Table_Foutmeldingen[Foutmelding],"&lt;Not in LuT Foutmeldingen&gt;",0,1),
  IF(NOT(_xlfn.XLOOKUP($A23,Table_LuT_Deelnemers[ID Deelnemer],Table_LuT_Deelnemers[Check 020],"&lt;Not in Checks&gt;",0,1)),_xlfn.XLOOKUP("E-020",Table_Foutmeldingen[Nr. Foutmelding],Table_Foutmeldingen[Foutmelding],"&lt;Not in LuT Foutmeldingen&gt;",0,1),
  IF(NOT(_xlfn.XLOOKUP($A23,Table_LuT_Deelnemers[ID Deelnemer],Table_LuT_Deelnemers[Check 111],"&lt;Not in Checks&gt;",0,1)),_xlfn.XLOOKUP("E-111",Table_Foutmeldingen[Nr. Foutmelding],Table_Foutmeldingen[Foutmelding],"&lt;Not in LuT Foutmeldingen&gt;",0,1),
  IF(NOT(_xlfn.XLOOKUP($A23,Table_LuT_Deelnemers[ID Deelnemer],Table_LuT_Deelnemers[Check 121],"&lt;Not in Checks&gt;",0,1)),_xlfn.XLOOKUP("E-121",Table_Foutmeldingen[Nr. Foutmelding],Table_Foutmeldingen[Foutmelding],"&lt;Not in LuT Foutmeldingen&gt;",0,1),
  IF(NOT(_xlfn.XLOOKUP($A23,Table_LuT_Deelnemers[ID Deelnemer],Table_LuT_Deelnemers[Check 123],"&lt;Not in Checks&gt;",0,1)),_xlfn.XLOOKUP("E-123",Table_Foutmeldingen[Nr. Foutmelding],Table_Foutmeldingen[Foutmelding],"&lt;Not in LuT Foutmeldingen&gt;",0,1),
  IF(NOT(_xlfn.XLOOKUP($A23,Table_LuT_Deelnemers[ID Deelnemer],Table_LuT_Deelnemers[Check 124],"&lt;Not in Checks&gt;",0,1)),_xlfn.XLOOKUP("E-124",Table_Foutmeldingen[Nr. Foutmelding],Table_Foutmeldingen[Foutmelding],"&lt;Not in LuT Foutmeldingen&gt;",0,1),
  IF(NOT(_xlfn.XLOOKUP($A23,Table_LuT_Deelnemers[ID Deelnemer],Table_LuT_Deelnemers[Check 125],"&lt;Not in Checks&gt;",0,1)),_xlfn.XLOOKUP("E-125",Table_Foutmeldingen[Nr. Foutmelding],Table_Foutmeldingen[Foutmelding],"&lt;Not in LuT Foutmeldingen&gt;",0,1),
  IF(NOT(_xlfn.XLOOKUP($A23,Table_LuT_Deelnemers[ID Deelnemer],Table_LuT_Deelnemers[Check 190],"&lt;Not in Checks&gt;",0,1)),_xlfn.XLOOKUP("E-190",Table_Foutmeldingen[Nr. Foutmelding],Table_Foutmeldingen[Foutmelding],"&lt;Not in LuT Foutmeldingen&gt;",0,1),
  IF(NOT(_xlfn.XLOOKUP($A23,Table_LuT_Deelnemers[ID Deelnemer],Table_LuT_Deelnemers[Check 200],"&lt;Not in Checks&gt;",0,1)),_xlfn.XLOOKUP("E-200",Table_Foutmeldingen[Nr. Foutmelding],Table_Foutmeldingen[Foutmelding],"&lt;Not in LuT Foutmeldingen&gt;",0,1),
  "")))))))))))))</f>
        <v/>
      </c>
    </row>
    <row r="24" spans="1:13" ht="15" customHeight="1" x14ac:dyDescent="0.2">
      <c r="A24" s="14" t="s">
        <v>195</v>
      </c>
      <c r="B24" s="218"/>
      <c r="C24" s="218" t="s">
        <v>19</v>
      </c>
      <c r="D24" s="244"/>
      <c r="E24" s="218"/>
      <c r="F24" s="218"/>
      <c r="G24" s="244"/>
      <c r="H24" s="314" t="str">
        <f>IF(NOT(_xlfn.XLOOKUP($A24,Table_LuT_Deelnemers[ID Deelnemer],Table_LuT_Deelnemers[Check 005],"&lt;Not in Checks&gt;",0,1)),_xlfn.XLOOKUP("E-005",Table_Foutmeldingen[Nr. Foutmelding],Table_Foutmeldingen[Foutmelding],"&lt;Not in LuT Foutmeldingen&gt;",0,1),
  IF(NOT(_xlfn.XLOOKUP($A24,Table_LuT_Deelnemers[ID Deelnemer],Table_LuT_Deelnemers[Check 011],"&lt;Not in Checks&gt;",0,1)),_xlfn.XLOOKUP("E-011",Table_Foutmeldingen[Nr. Foutmelding],Table_Foutmeldingen[Foutmelding],"&lt;Not in LuT Foutmeldingen&gt;",0,1),
  IF(NOT(_xlfn.XLOOKUP($A24,Table_LuT_Deelnemers[ID Deelnemer],Table_LuT_Deelnemers[Check 013],"&lt;Not in Checks&gt;",0,1)),_xlfn.XLOOKUP("E-013",Table_Foutmeldingen[Nr. Foutmelding],Table_Foutmeldingen[Foutmelding],"&lt;Not in LuT Foutmeldingen&gt;",0,1),
  IF(NOT(_xlfn.XLOOKUP($A24,Table_LuT_Deelnemers[ID Deelnemer],Table_LuT_Deelnemers[Check 015],"&lt;Not in Checks&gt;",0,1)),_xlfn.XLOOKUP("E-015",Table_Foutmeldingen[Nr. Foutmelding],Table_Foutmeldingen[Foutmelding],"&lt;Not in LuT Foutmeldingen&gt;",0,1),
  IF(NOT(_xlfn.XLOOKUP($A24,Table_LuT_Deelnemers[ID Deelnemer],Table_LuT_Deelnemers[Check 017],"&lt;Not in Checks&gt;",0,1)),_xlfn.XLOOKUP("E-017",Table_Foutmeldingen[Nr. Foutmelding],Table_Foutmeldingen[Foutmelding],"&lt;Not in LuT Foutmeldingen&gt;",0,1),
  IF(NOT(_xlfn.XLOOKUP($A24,Table_LuT_Deelnemers[ID Deelnemer],Table_LuT_Deelnemers[Check 020],"&lt;Not in Checks&gt;",0,1)),_xlfn.XLOOKUP("E-020",Table_Foutmeldingen[Nr. Foutmelding],Table_Foutmeldingen[Foutmelding],"&lt;Not in LuT Foutmeldingen&gt;",0,1),
  IF(NOT(_xlfn.XLOOKUP($A24,Table_LuT_Deelnemers[ID Deelnemer],Table_LuT_Deelnemers[Check 111],"&lt;Not in Checks&gt;",0,1)),_xlfn.XLOOKUP("E-111",Table_Foutmeldingen[Nr. Foutmelding],Table_Foutmeldingen[Foutmelding],"&lt;Not in LuT Foutmeldingen&gt;",0,1),
  IF(NOT(_xlfn.XLOOKUP($A24,Table_LuT_Deelnemers[ID Deelnemer],Table_LuT_Deelnemers[Check 121],"&lt;Not in Checks&gt;",0,1)),_xlfn.XLOOKUP("E-121",Table_Foutmeldingen[Nr. Foutmelding],Table_Foutmeldingen[Foutmelding],"&lt;Not in LuT Foutmeldingen&gt;",0,1),
  IF(NOT(_xlfn.XLOOKUP($A24,Table_LuT_Deelnemers[ID Deelnemer],Table_LuT_Deelnemers[Check 123],"&lt;Not in Checks&gt;",0,1)),_xlfn.XLOOKUP("E-123",Table_Foutmeldingen[Nr. Foutmelding],Table_Foutmeldingen[Foutmelding],"&lt;Not in LuT Foutmeldingen&gt;",0,1),
  IF(NOT(_xlfn.XLOOKUP($A24,Table_LuT_Deelnemers[ID Deelnemer],Table_LuT_Deelnemers[Check 124],"&lt;Not in Checks&gt;",0,1)),_xlfn.XLOOKUP("E-124",Table_Foutmeldingen[Nr. Foutmelding],Table_Foutmeldingen[Foutmelding],"&lt;Not in LuT Foutmeldingen&gt;",0,1),
  IF(NOT(_xlfn.XLOOKUP($A24,Table_LuT_Deelnemers[ID Deelnemer],Table_LuT_Deelnemers[Check 125],"&lt;Not in Checks&gt;",0,1)),_xlfn.XLOOKUP("E-125",Table_Foutmeldingen[Nr. Foutmelding],Table_Foutmeldingen[Foutmelding],"&lt;Not in LuT Foutmeldingen&gt;",0,1),
  IF(NOT(_xlfn.XLOOKUP($A24,Table_LuT_Deelnemers[ID Deelnemer],Table_LuT_Deelnemers[Check 190],"&lt;Not in Checks&gt;",0,1)),_xlfn.XLOOKUP("E-190",Table_Foutmeldingen[Nr. Foutmelding],Table_Foutmeldingen[Foutmelding],"&lt;Not in LuT Foutmeldingen&gt;",0,1),
  IF(NOT(_xlfn.XLOOKUP($A24,Table_LuT_Deelnemers[ID Deelnemer],Table_LuT_Deelnemers[Check 200],"&lt;Not in Checks&gt;",0,1)),_xlfn.XLOOKUP("E-200",Table_Foutmeldingen[Nr. Foutmelding],Table_Foutmeldingen[Foutmelding],"&lt;Not in LuT Foutmeldingen&gt;",0,1),
  "")))))))))))))</f>
        <v/>
      </c>
    </row>
    <row r="25" spans="1:13" ht="15" customHeight="1" x14ac:dyDescent="0.2">
      <c r="A25" s="14" t="s">
        <v>196</v>
      </c>
      <c r="B25" s="218"/>
      <c r="C25" s="218" t="s">
        <v>19</v>
      </c>
      <c r="D25" s="244"/>
      <c r="E25" s="218"/>
      <c r="F25" s="218"/>
      <c r="G25" s="244"/>
      <c r="H25" s="314" t="str">
        <f>IF(NOT(_xlfn.XLOOKUP($A25,Table_LuT_Deelnemers[ID Deelnemer],Table_LuT_Deelnemers[Check 005],"&lt;Not in Checks&gt;",0,1)),_xlfn.XLOOKUP("E-005",Table_Foutmeldingen[Nr. Foutmelding],Table_Foutmeldingen[Foutmelding],"&lt;Not in LuT Foutmeldingen&gt;",0,1),
  IF(NOT(_xlfn.XLOOKUP($A25,Table_LuT_Deelnemers[ID Deelnemer],Table_LuT_Deelnemers[Check 011],"&lt;Not in Checks&gt;",0,1)),_xlfn.XLOOKUP("E-011",Table_Foutmeldingen[Nr. Foutmelding],Table_Foutmeldingen[Foutmelding],"&lt;Not in LuT Foutmeldingen&gt;",0,1),
  IF(NOT(_xlfn.XLOOKUP($A25,Table_LuT_Deelnemers[ID Deelnemer],Table_LuT_Deelnemers[Check 013],"&lt;Not in Checks&gt;",0,1)),_xlfn.XLOOKUP("E-013",Table_Foutmeldingen[Nr. Foutmelding],Table_Foutmeldingen[Foutmelding],"&lt;Not in LuT Foutmeldingen&gt;",0,1),
  IF(NOT(_xlfn.XLOOKUP($A25,Table_LuT_Deelnemers[ID Deelnemer],Table_LuT_Deelnemers[Check 015],"&lt;Not in Checks&gt;",0,1)),_xlfn.XLOOKUP("E-015",Table_Foutmeldingen[Nr. Foutmelding],Table_Foutmeldingen[Foutmelding],"&lt;Not in LuT Foutmeldingen&gt;",0,1),
  IF(NOT(_xlfn.XLOOKUP($A25,Table_LuT_Deelnemers[ID Deelnemer],Table_LuT_Deelnemers[Check 017],"&lt;Not in Checks&gt;",0,1)),_xlfn.XLOOKUP("E-017",Table_Foutmeldingen[Nr. Foutmelding],Table_Foutmeldingen[Foutmelding],"&lt;Not in LuT Foutmeldingen&gt;",0,1),
  IF(NOT(_xlfn.XLOOKUP($A25,Table_LuT_Deelnemers[ID Deelnemer],Table_LuT_Deelnemers[Check 020],"&lt;Not in Checks&gt;",0,1)),_xlfn.XLOOKUP("E-020",Table_Foutmeldingen[Nr. Foutmelding],Table_Foutmeldingen[Foutmelding],"&lt;Not in LuT Foutmeldingen&gt;",0,1),
  IF(NOT(_xlfn.XLOOKUP($A25,Table_LuT_Deelnemers[ID Deelnemer],Table_LuT_Deelnemers[Check 111],"&lt;Not in Checks&gt;",0,1)),_xlfn.XLOOKUP("E-111",Table_Foutmeldingen[Nr. Foutmelding],Table_Foutmeldingen[Foutmelding],"&lt;Not in LuT Foutmeldingen&gt;",0,1),
  IF(NOT(_xlfn.XLOOKUP($A25,Table_LuT_Deelnemers[ID Deelnemer],Table_LuT_Deelnemers[Check 121],"&lt;Not in Checks&gt;",0,1)),_xlfn.XLOOKUP("E-121",Table_Foutmeldingen[Nr. Foutmelding],Table_Foutmeldingen[Foutmelding],"&lt;Not in LuT Foutmeldingen&gt;",0,1),
  IF(NOT(_xlfn.XLOOKUP($A25,Table_LuT_Deelnemers[ID Deelnemer],Table_LuT_Deelnemers[Check 123],"&lt;Not in Checks&gt;",0,1)),_xlfn.XLOOKUP("E-123",Table_Foutmeldingen[Nr. Foutmelding],Table_Foutmeldingen[Foutmelding],"&lt;Not in LuT Foutmeldingen&gt;",0,1),
  IF(NOT(_xlfn.XLOOKUP($A25,Table_LuT_Deelnemers[ID Deelnemer],Table_LuT_Deelnemers[Check 124],"&lt;Not in Checks&gt;",0,1)),_xlfn.XLOOKUP("E-124",Table_Foutmeldingen[Nr. Foutmelding],Table_Foutmeldingen[Foutmelding],"&lt;Not in LuT Foutmeldingen&gt;",0,1),
  IF(NOT(_xlfn.XLOOKUP($A25,Table_LuT_Deelnemers[ID Deelnemer],Table_LuT_Deelnemers[Check 125],"&lt;Not in Checks&gt;",0,1)),_xlfn.XLOOKUP("E-125",Table_Foutmeldingen[Nr. Foutmelding],Table_Foutmeldingen[Foutmelding],"&lt;Not in LuT Foutmeldingen&gt;",0,1),
  IF(NOT(_xlfn.XLOOKUP($A25,Table_LuT_Deelnemers[ID Deelnemer],Table_LuT_Deelnemers[Check 190],"&lt;Not in Checks&gt;",0,1)),_xlfn.XLOOKUP("E-190",Table_Foutmeldingen[Nr. Foutmelding],Table_Foutmeldingen[Foutmelding],"&lt;Not in LuT Foutmeldingen&gt;",0,1),
  IF(NOT(_xlfn.XLOOKUP($A25,Table_LuT_Deelnemers[ID Deelnemer],Table_LuT_Deelnemers[Check 200],"&lt;Not in Checks&gt;",0,1)),_xlfn.XLOOKUP("E-200",Table_Foutmeldingen[Nr. Foutmelding],Table_Foutmeldingen[Foutmelding],"&lt;Not in LuT Foutmeldingen&gt;",0,1),
  "")))))))))))))</f>
        <v/>
      </c>
    </row>
    <row r="26" spans="1:13" ht="15" customHeight="1" x14ac:dyDescent="0.2">
      <c r="A26" s="14" t="s">
        <v>197</v>
      </c>
      <c r="B26" s="218"/>
      <c r="C26" s="218" t="s">
        <v>19</v>
      </c>
      <c r="D26" s="244"/>
      <c r="E26" s="218"/>
      <c r="F26" s="218"/>
      <c r="G26" s="244"/>
      <c r="H26" s="314" t="str">
        <f>IF(NOT(_xlfn.XLOOKUP($A26,Table_LuT_Deelnemers[ID Deelnemer],Table_LuT_Deelnemers[Check 005],"&lt;Not in Checks&gt;",0,1)),_xlfn.XLOOKUP("E-005",Table_Foutmeldingen[Nr. Foutmelding],Table_Foutmeldingen[Foutmelding],"&lt;Not in LuT Foutmeldingen&gt;",0,1),
  IF(NOT(_xlfn.XLOOKUP($A26,Table_LuT_Deelnemers[ID Deelnemer],Table_LuT_Deelnemers[Check 011],"&lt;Not in Checks&gt;",0,1)),_xlfn.XLOOKUP("E-011",Table_Foutmeldingen[Nr. Foutmelding],Table_Foutmeldingen[Foutmelding],"&lt;Not in LuT Foutmeldingen&gt;",0,1),
  IF(NOT(_xlfn.XLOOKUP($A26,Table_LuT_Deelnemers[ID Deelnemer],Table_LuT_Deelnemers[Check 013],"&lt;Not in Checks&gt;",0,1)),_xlfn.XLOOKUP("E-013",Table_Foutmeldingen[Nr. Foutmelding],Table_Foutmeldingen[Foutmelding],"&lt;Not in LuT Foutmeldingen&gt;",0,1),
  IF(NOT(_xlfn.XLOOKUP($A26,Table_LuT_Deelnemers[ID Deelnemer],Table_LuT_Deelnemers[Check 015],"&lt;Not in Checks&gt;",0,1)),_xlfn.XLOOKUP("E-015",Table_Foutmeldingen[Nr. Foutmelding],Table_Foutmeldingen[Foutmelding],"&lt;Not in LuT Foutmeldingen&gt;",0,1),
  IF(NOT(_xlfn.XLOOKUP($A26,Table_LuT_Deelnemers[ID Deelnemer],Table_LuT_Deelnemers[Check 017],"&lt;Not in Checks&gt;",0,1)),_xlfn.XLOOKUP("E-017",Table_Foutmeldingen[Nr. Foutmelding],Table_Foutmeldingen[Foutmelding],"&lt;Not in LuT Foutmeldingen&gt;",0,1),
  IF(NOT(_xlfn.XLOOKUP($A26,Table_LuT_Deelnemers[ID Deelnemer],Table_LuT_Deelnemers[Check 020],"&lt;Not in Checks&gt;",0,1)),_xlfn.XLOOKUP("E-020",Table_Foutmeldingen[Nr. Foutmelding],Table_Foutmeldingen[Foutmelding],"&lt;Not in LuT Foutmeldingen&gt;",0,1),
  IF(NOT(_xlfn.XLOOKUP($A26,Table_LuT_Deelnemers[ID Deelnemer],Table_LuT_Deelnemers[Check 111],"&lt;Not in Checks&gt;",0,1)),_xlfn.XLOOKUP("E-111",Table_Foutmeldingen[Nr. Foutmelding],Table_Foutmeldingen[Foutmelding],"&lt;Not in LuT Foutmeldingen&gt;",0,1),
  IF(NOT(_xlfn.XLOOKUP($A26,Table_LuT_Deelnemers[ID Deelnemer],Table_LuT_Deelnemers[Check 121],"&lt;Not in Checks&gt;",0,1)),_xlfn.XLOOKUP("E-121",Table_Foutmeldingen[Nr. Foutmelding],Table_Foutmeldingen[Foutmelding],"&lt;Not in LuT Foutmeldingen&gt;",0,1),
  IF(NOT(_xlfn.XLOOKUP($A26,Table_LuT_Deelnemers[ID Deelnemer],Table_LuT_Deelnemers[Check 123],"&lt;Not in Checks&gt;",0,1)),_xlfn.XLOOKUP("E-123",Table_Foutmeldingen[Nr. Foutmelding],Table_Foutmeldingen[Foutmelding],"&lt;Not in LuT Foutmeldingen&gt;",0,1),
  IF(NOT(_xlfn.XLOOKUP($A26,Table_LuT_Deelnemers[ID Deelnemer],Table_LuT_Deelnemers[Check 124],"&lt;Not in Checks&gt;",0,1)),_xlfn.XLOOKUP("E-124",Table_Foutmeldingen[Nr. Foutmelding],Table_Foutmeldingen[Foutmelding],"&lt;Not in LuT Foutmeldingen&gt;",0,1),
  IF(NOT(_xlfn.XLOOKUP($A26,Table_LuT_Deelnemers[ID Deelnemer],Table_LuT_Deelnemers[Check 125],"&lt;Not in Checks&gt;",0,1)),_xlfn.XLOOKUP("E-125",Table_Foutmeldingen[Nr. Foutmelding],Table_Foutmeldingen[Foutmelding],"&lt;Not in LuT Foutmeldingen&gt;",0,1),
  IF(NOT(_xlfn.XLOOKUP($A26,Table_LuT_Deelnemers[ID Deelnemer],Table_LuT_Deelnemers[Check 190],"&lt;Not in Checks&gt;",0,1)),_xlfn.XLOOKUP("E-190",Table_Foutmeldingen[Nr. Foutmelding],Table_Foutmeldingen[Foutmelding],"&lt;Not in LuT Foutmeldingen&gt;",0,1),
  IF(NOT(_xlfn.XLOOKUP($A26,Table_LuT_Deelnemers[ID Deelnemer],Table_LuT_Deelnemers[Check 200],"&lt;Not in Checks&gt;",0,1)),_xlfn.XLOOKUP("E-200",Table_Foutmeldingen[Nr. Foutmelding],Table_Foutmeldingen[Foutmelding],"&lt;Not in LuT Foutmeldingen&gt;",0,1),
  "")))))))))))))</f>
        <v/>
      </c>
    </row>
    <row r="27" spans="1:13" ht="15" customHeight="1" x14ac:dyDescent="0.2">
      <c r="A27" s="14" t="s">
        <v>198</v>
      </c>
      <c r="B27" s="218"/>
      <c r="C27" s="218" t="s">
        <v>19</v>
      </c>
      <c r="D27" s="244"/>
      <c r="E27" s="218"/>
      <c r="F27" s="218"/>
      <c r="G27" s="244"/>
      <c r="H27" s="314" t="str">
        <f>IF(NOT(_xlfn.XLOOKUP($A27,Table_LuT_Deelnemers[ID Deelnemer],Table_LuT_Deelnemers[Check 005],"&lt;Not in Checks&gt;",0,1)),_xlfn.XLOOKUP("E-005",Table_Foutmeldingen[Nr. Foutmelding],Table_Foutmeldingen[Foutmelding],"&lt;Not in LuT Foutmeldingen&gt;",0,1),
  IF(NOT(_xlfn.XLOOKUP($A27,Table_LuT_Deelnemers[ID Deelnemer],Table_LuT_Deelnemers[Check 011],"&lt;Not in Checks&gt;",0,1)),_xlfn.XLOOKUP("E-011",Table_Foutmeldingen[Nr. Foutmelding],Table_Foutmeldingen[Foutmelding],"&lt;Not in LuT Foutmeldingen&gt;",0,1),
  IF(NOT(_xlfn.XLOOKUP($A27,Table_LuT_Deelnemers[ID Deelnemer],Table_LuT_Deelnemers[Check 013],"&lt;Not in Checks&gt;",0,1)),_xlfn.XLOOKUP("E-013",Table_Foutmeldingen[Nr. Foutmelding],Table_Foutmeldingen[Foutmelding],"&lt;Not in LuT Foutmeldingen&gt;",0,1),
  IF(NOT(_xlfn.XLOOKUP($A27,Table_LuT_Deelnemers[ID Deelnemer],Table_LuT_Deelnemers[Check 015],"&lt;Not in Checks&gt;",0,1)),_xlfn.XLOOKUP("E-015",Table_Foutmeldingen[Nr. Foutmelding],Table_Foutmeldingen[Foutmelding],"&lt;Not in LuT Foutmeldingen&gt;",0,1),
  IF(NOT(_xlfn.XLOOKUP($A27,Table_LuT_Deelnemers[ID Deelnemer],Table_LuT_Deelnemers[Check 017],"&lt;Not in Checks&gt;",0,1)),_xlfn.XLOOKUP("E-017",Table_Foutmeldingen[Nr. Foutmelding],Table_Foutmeldingen[Foutmelding],"&lt;Not in LuT Foutmeldingen&gt;",0,1),
  IF(NOT(_xlfn.XLOOKUP($A27,Table_LuT_Deelnemers[ID Deelnemer],Table_LuT_Deelnemers[Check 020],"&lt;Not in Checks&gt;",0,1)),_xlfn.XLOOKUP("E-020",Table_Foutmeldingen[Nr. Foutmelding],Table_Foutmeldingen[Foutmelding],"&lt;Not in LuT Foutmeldingen&gt;",0,1),
  IF(NOT(_xlfn.XLOOKUP($A27,Table_LuT_Deelnemers[ID Deelnemer],Table_LuT_Deelnemers[Check 111],"&lt;Not in Checks&gt;",0,1)),_xlfn.XLOOKUP("E-111",Table_Foutmeldingen[Nr. Foutmelding],Table_Foutmeldingen[Foutmelding],"&lt;Not in LuT Foutmeldingen&gt;",0,1),
  IF(NOT(_xlfn.XLOOKUP($A27,Table_LuT_Deelnemers[ID Deelnemer],Table_LuT_Deelnemers[Check 121],"&lt;Not in Checks&gt;",0,1)),_xlfn.XLOOKUP("E-121",Table_Foutmeldingen[Nr. Foutmelding],Table_Foutmeldingen[Foutmelding],"&lt;Not in LuT Foutmeldingen&gt;",0,1),
  IF(NOT(_xlfn.XLOOKUP($A27,Table_LuT_Deelnemers[ID Deelnemer],Table_LuT_Deelnemers[Check 123],"&lt;Not in Checks&gt;",0,1)),_xlfn.XLOOKUP("E-123",Table_Foutmeldingen[Nr. Foutmelding],Table_Foutmeldingen[Foutmelding],"&lt;Not in LuT Foutmeldingen&gt;",0,1),
  IF(NOT(_xlfn.XLOOKUP($A27,Table_LuT_Deelnemers[ID Deelnemer],Table_LuT_Deelnemers[Check 124],"&lt;Not in Checks&gt;",0,1)),_xlfn.XLOOKUP("E-124",Table_Foutmeldingen[Nr. Foutmelding],Table_Foutmeldingen[Foutmelding],"&lt;Not in LuT Foutmeldingen&gt;",0,1),
  IF(NOT(_xlfn.XLOOKUP($A27,Table_LuT_Deelnemers[ID Deelnemer],Table_LuT_Deelnemers[Check 125],"&lt;Not in Checks&gt;",0,1)),_xlfn.XLOOKUP("E-125",Table_Foutmeldingen[Nr. Foutmelding],Table_Foutmeldingen[Foutmelding],"&lt;Not in LuT Foutmeldingen&gt;",0,1),
  IF(NOT(_xlfn.XLOOKUP($A27,Table_LuT_Deelnemers[ID Deelnemer],Table_LuT_Deelnemers[Check 190],"&lt;Not in Checks&gt;",0,1)),_xlfn.XLOOKUP("E-190",Table_Foutmeldingen[Nr. Foutmelding],Table_Foutmeldingen[Foutmelding],"&lt;Not in LuT Foutmeldingen&gt;",0,1),
  IF(NOT(_xlfn.XLOOKUP($A27,Table_LuT_Deelnemers[ID Deelnemer],Table_LuT_Deelnemers[Check 200],"&lt;Not in Checks&gt;",0,1)),_xlfn.XLOOKUP("E-200",Table_Foutmeldingen[Nr. Foutmelding],Table_Foutmeldingen[Foutmelding],"&lt;Not in LuT Foutmeldingen&gt;",0,1),
  "")))))))))))))</f>
        <v/>
      </c>
    </row>
    <row r="28" spans="1:13" ht="15" customHeight="1" x14ac:dyDescent="0.2">
      <c r="C28" s="223"/>
      <c r="D28" s="223"/>
    </row>
    <row r="29" spans="1:13" ht="15" customHeight="1" thickBot="1" x14ac:dyDescent="0.25">
      <c r="B29" s="281"/>
      <c r="C29" s="282"/>
      <c r="D29" s="282"/>
      <c r="E29" s="281"/>
      <c r="F29" s="281"/>
    </row>
    <row r="30" spans="1:13" ht="15" customHeight="1" thickTop="1" x14ac:dyDescent="0.2">
      <c r="A30" s="289"/>
      <c r="B30" s="284" t="s">
        <v>219</v>
      </c>
      <c r="C30" s="279"/>
      <c r="D30" s="279"/>
      <c r="E30" s="279"/>
      <c r="F30" s="283"/>
      <c r="K30" s="279"/>
      <c r="L30" s="279"/>
      <c r="M30" s="279"/>
    </row>
    <row r="31" spans="1:13" ht="60" customHeight="1" x14ac:dyDescent="0.2">
      <c r="A31" s="289"/>
      <c r="B31" s="418" t="s">
        <v>332</v>
      </c>
      <c r="C31" s="419"/>
      <c r="D31" s="419"/>
      <c r="E31" s="280"/>
      <c r="F31" s="335"/>
      <c r="K31" s="280"/>
      <c r="L31" s="280"/>
      <c r="M31" s="280"/>
    </row>
    <row r="32" spans="1:13" ht="45" customHeight="1" x14ac:dyDescent="0.2">
      <c r="A32" s="289"/>
      <c r="B32" s="418" t="s">
        <v>331</v>
      </c>
      <c r="C32" s="419"/>
      <c r="D32" s="419"/>
      <c r="E32" s="419"/>
      <c r="F32" s="424"/>
      <c r="K32" s="280"/>
      <c r="L32" s="280"/>
      <c r="M32" s="280"/>
    </row>
    <row r="33" spans="1:13" ht="60" customHeight="1" x14ac:dyDescent="0.2">
      <c r="A33" s="289"/>
      <c r="B33" s="418" t="str">
        <f>"c. Download altijd de meest recente versie van dit template in tab ""6. Begroting &amp; Documenten"" van de Portal.  
    Dit template is versie: "&amp;Versienummer &amp; "
    Alleen de meest recente versie van dit bestand kan worden geüpload!"</f>
        <v>c. Download altijd de meest recente versie van dit template in tab "6. Begroting &amp; Documenten" van de Portal.  
    Dit template is versie: bg-v20260123
    Alleen de meest recente versie van dit bestand kan worden geüpload!</v>
      </c>
      <c r="C33" s="419"/>
      <c r="D33" s="419"/>
      <c r="E33" s="419"/>
      <c r="F33" s="424"/>
      <c r="K33" s="280"/>
      <c r="L33" s="280"/>
      <c r="M33" s="280"/>
    </row>
    <row r="34" spans="1:13" ht="30" customHeight="1" x14ac:dyDescent="0.2">
      <c r="A34" s="289"/>
      <c r="B34" s="418" t="s">
        <v>255</v>
      </c>
      <c r="C34" s="419"/>
      <c r="D34" s="419"/>
      <c r="E34" s="419"/>
      <c r="F34" s="424"/>
      <c r="K34" s="280"/>
      <c r="L34" s="280"/>
    </row>
    <row r="35" spans="1:13" ht="45" customHeight="1" x14ac:dyDescent="0.2">
      <c r="A35" s="289"/>
      <c r="B35" s="418" t="s">
        <v>333</v>
      </c>
      <c r="C35" s="419"/>
      <c r="D35" s="419"/>
      <c r="E35" s="419"/>
      <c r="F35" s="424"/>
      <c r="K35" s="280"/>
      <c r="L35" s="280"/>
    </row>
    <row r="36" spans="1:13" ht="60" customHeight="1" x14ac:dyDescent="0.2">
      <c r="A36" s="289"/>
      <c r="B36" s="418" t="s">
        <v>253</v>
      </c>
      <c r="C36" s="419"/>
      <c r="D36" s="279"/>
      <c r="E36" s="279"/>
      <c r="F36" s="283"/>
      <c r="K36" s="279"/>
      <c r="L36" s="279"/>
      <c r="M36" s="279"/>
    </row>
    <row r="37" spans="1:13" ht="30" customHeight="1" x14ac:dyDescent="0.2">
      <c r="A37" s="289"/>
      <c r="B37" s="418" t="s">
        <v>472</v>
      </c>
      <c r="C37" s="419"/>
      <c r="D37" s="279"/>
      <c r="E37" s="279"/>
      <c r="F37" s="283"/>
      <c r="K37" s="279"/>
      <c r="L37" s="279"/>
      <c r="M37" s="279"/>
    </row>
    <row r="38" spans="1:13" ht="13.5" thickBot="1" x14ac:dyDescent="0.25">
      <c r="A38" s="289"/>
      <c r="B38" s="281"/>
      <c r="C38" s="287"/>
      <c r="D38" s="285"/>
      <c r="E38" s="285"/>
      <c r="F38" s="286"/>
    </row>
    <row r="39" spans="1:13" ht="15" customHeight="1" thickTop="1" x14ac:dyDescent="0.2"/>
  </sheetData>
  <sheetProtection algorithmName="SHA-512" hashValue="nx+E8f+U8aoTgDpafLBqzlTAe2XtesE3NTt7bFfqZHaHVy1d+6NFcKp3RjaW5BV6vc2jFQrsKyTh5SLk98IZ1A==" saltValue="pn7Fjei5F42eVE+I30jGnA==" spinCount="100000" sheet="1" objects="1" scenarios="1" selectLockedCells="1"/>
  <mergeCells count="11">
    <mergeCell ref="B37:C37"/>
    <mergeCell ref="A1:H1"/>
    <mergeCell ref="B5:C5"/>
    <mergeCell ref="B3:C3"/>
    <mergeCell ref="B4:C4"/>
    <mergeCell ref="B32:F32"/>
    <mergeCell ref="B34:F34"/>
    <mergeCell ref="B35:F35"/>
    <mergeCell ref="B33:F33"/>
    <mergeCell ref="B31:D31"/>
    <mergeCell ref="B36:C36"/>
  </mergeCells>
  <phoneticPr fontId="40" type="noConversion"/>
  <dataValidations count="3">
    <dataValidation type="list" allowBlank="1" showInputMessage="1" showErrorMessage="1" sqref="C8:C27" xr:uid="{5AF875FB-B7E6-4E85-A743-87C4FAACB342}">
      <formula1>ValList_Type_Organisatie</formula1>
    </dataValidation>
    <dataValidation type="list" allowBlank="1" showInputMessage="1" showErrorMessage="1" errorTitle="Plakken niet toegestaan" sqref="B3:C3" xr:uid="{DC53CA6F-C54B-49B9-9474-F125BC83FBA7}">
      <formula1>ValList_Subsidie_instrument</formula1>
    </dataValidation>
    <dataValidation type="list" allowBlank="1" showInputMessage="1" showErrorMessage="1" sqref="F8:F27" xr:uid="{F9D4386D-548E-467D-A41D-E1E22A50F8F7}">
      <formula1>ValList_ja_nee</formula1>
    </dataValidation>
  </dataValidations>
  <printOptions gridLines="1"/>
  <pageMargins left="0.74803149606299213" right="0.74803149606299213" top="0.98425196850393704" bottom="0.98425196850393704" header="0.51181102362204722" footer="0.51181102362204722"/>
  <pageSetup paperSize="9" scale="52" orientation="portrait" horizontalDpi="4294967292" verticalDpi="300" r:id="rId1"/>
  <headerFooter alignWithMargins="0">
    <oddFooter>&amp;L&amp;8Erna Olislaegers
&amp;D at &amp;T&amp;C&amp;8&amp;P/&amp;N&amp;R&amp;8File: &amp;F
Sheet: &amp;A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CE62-3EB5-4FAF-80C5-131E7F7BA43D}">
  <sheetPr codeName="Sheet6">
    <tabColor theme="9"/>
    <pageSetUpPr fitToPage="1"/>
  </sheetPr>
  <dimension ref="A1:G22"/>
  <sheetViews>
    <sheetView zoomScale="85" zoomScaleNormal="85" workbookViewId="0">
      <selection activeCell="A2" sqref="A2"/>
    </sheetView>
  </sheetViews>
  <sheetFormatPr defaultRowHeight="15" customHeight="1" x14ac:dyDescent="0.25"/>
  <cols>
    <col min="1" max="2" width="26.42578125" style="213" customWidth="1"/>
    <col min="3" max="3" width="54.140625" style="213" customWidth="1"/>
    <col min="4" max="4" width="25.28515625" style="213" customWidth="1"/>
    <col min="5" max="6" width="9.140625" style="213"/>
    <col min="7" max="7" width="46.5703125" style="213" customWidth="1"/>
    <col min="8" max="16384" width="9.140625" style="213"/>
  </cols>
  <sheetData>
    <row r="1" spans="1:7" s="1" customFormat="1" ht="15" customHeight="1" x14ac:dyDescent="0.25">
      <c r="A1" s="1" t="s">
        <v>1</v>
      </c>
      <c r="B1" s="1" t="s">
        <v>453</v>
      </c>
      <c r="C1" s="1" t="s">
        <v>5</v>
      </c>
      <c r="D1" s="1" t="s">
        <v>77</v>
      </c>
      <c r="E1" s="1" t="s">
        <v>166</v>
      </c>
      <c r="F1" s="1" t="s">
        <v>246</v>
      </c>
      <c r="G1" s="1" t="s">
        <v>170</v>
      </c>
    </row>
    <row r="2" spans="1:7" ht="15" customHeight="1" x14ac:dyDescent="0.25">
      <c r="A2" s="209" t="s">
        <v>19</v>
      </c>
      <c r="B2" s="209" t="s">
        <v>19</v>
      </c>
      <c r="C2" s="210" t="s">
        <v>19</v>
      </c>
      <c r="D2" s="211" t="s">
        <v>19</v>
      </c>
      <c r="E2" s="212" t="s">
        <v>109</v>
      </c>
      <c r="F2" s="288" t="s">
        <v>109</v>
      </c>
      <c r="G2" s="209" t="s">
        <v>19</v>
      </c>
    </row>
    <row r="3" spans="1:7" ht="15" customHeight="1" x14ac:dyDescent="0.25">
      <c r="A3" s="209" t="s">
        <v>9</v>
      </c>
      <c r="B3" s="413" t="s">
        <v>420</v>
      </c>
      <c r="C3" s="210" t="s">
        <v>2</v>
      </c>
      <c r="D3" s="211" t="s">
        <v>58</v>
      </c>
      <c r="F3" s="288" t="s">
        <v>247</v>
      </c>
      <c r="G3" s="240" t="s">
        <v>173</v>
      </c>
    </row>
    <row r="4" spans="1:7" ht="15" customHeight="1" x14ac:dyDescent="0.25">
      <c r="A4" s="209" t="s">
        <v>7</v>
      </c>
      <c r="B4" s="413" t="s">
        <v>409</v>
      </c>
      <c r="C4" s="210" t="s">
        <v>3</v>
      </c>
      <c r="D4" s="211" t="s">
        <v>59</v>
      </c>
      <c r="G4" s="240" t="s">
        <v>174</v>
      </c>
    </row>
    <row r="5" spans="1:7" ht="15" customHeight="1" x14ac:dyDescent="0.25">
      <c r="A5" s="209" t="s">
        <v>6</v>
      </c>
      <c r="B5" s="413" t="s">
        <v>6</v>
      </c>
      <c r="C5" s="210" t="s">
        <v>4</v>
      </c>
      <c r="D5" s="211" t="s">
        <v>60</v>
      </c>
      <c r="G5" s="240" t="s">
        <v>460</v>
      </c>
    </row>
    <row r="6" spans="1:7" ht="15" customHeight="1" x14ac:dyDescent="0.25">
      <c r="A6" s="209" t="s">
        <v>99</v>
      </c>
      <c r="B6" s="413" t="s">
        <v>409</v>
      </c>
      <c r="D6" s="211" t="s">
        <v>61</v>
      </c>
      <c r="G6" s="415" t="s">
        <v>461</v>
      </c>
    </row>
    <row r="7" spans="1:7" ht="15" customHeight="1" x14ac:dyDescent="0.25">
      <c r="A7" s="209" t="s">
        <v>100</v>
      </c>
      <c r="B7" s="413" t="s">
        <v>409</v>
      </c>
      <c r="D7" s="211" t="s">
        <v>62</v>
      </c>
      <c r="G7" s="240" t="s">
        <v>175</v>
      </c>
    </row>
    <row r="8" spans="1:7" ht="15" customHeight="1" x14ac:dyDescent="0.25">
      <c r="A8" s="209" t="s">
        <v>101</v>
      </c>
      <c r="B8" s="413" t="s">
        <v>409</v>
      </c>
      <c r="D8" s="211" t="s">
        <v>63</v>
      </c>
    </row>
    <row r="9" spans="1:7" ht="15" customHeight="1" x14ac:dyDescent="0.25">
      <c r="A9" s="209" t="s">
        <v>102</v>
      </c>
      <c r="B9" s="413" t="s">
        <v>409</v>
      </c>
      <c r="D9" s="211" t="s">
        <v>64</v>
      </c>
    </row>
    <row r="10" spans="1:7" ht="15" customHeight="1" x14ac:dyDescent="0.25">
      <c r="A10" s="209" t="s">
        <v>103</v>
      </c>
      <c r="B10" s="413" t="s">
        <v>409</v>
      </c>
      <c r="D10" s="211" t="s">
        <v>65</v>
      </c>
    </row>
    <row r="11" spans="1:7" ht="15" customHeight="1" x14ac:dyDescent="0.25">
      <c r="A11" s="209" t="s">
        <v>104</v>
      </c>
      <c r="B11" s="413" t="s">
        <v>409</v>
      </c>
      <c r="D11" s="211" t="s">
        <v>66</v>
      </c>
    </row>
    <row r="12" spans="1:7" ht="15" customHeight="1" x14ac:dyDescent="0.25">
      <c r="A12" s="209" t="s">
        <v>8</v>
      </c>
      <c r="B12" s="413" t="s">
        <v>409</v>
      </c>
      <c r="D12" s="211" t="s">
        <v>67</v>
      </c>
    </row>
    <row r="13" spans="1:7" ht="15" customHeight="1" x14ac:dyDescent="0.25">
      <c r="D13" s="258" t="s">
        <v>189</v>
      </c>
    </row>
    <row r="14" spans="1:7" ht="15" customHeight="1" x14ac:dyDescent="0.25">
      <c r="D14" s="258" t="s">
        <v>190</v>
      </c>
    </row>
    <row r="15" spans="1:7" ht="15" customHeight="1" x14ac:dyDescent="0.25">
      <c r="D15" s="258" t="s">
        <v>191</v>
      </c>
    </row>
    <row r="16" spans="1:7" ht="15" customHeight="1" x14ac:dyDescent="0.25">
      <c r="D16" s="211" t="s">
        <v>192</v>
      </c>
    </row>
    <row r="17" spans="4:4" ht="15" customHeight="1" x14ac:dyDescent="0.25">
      <c r="D17" s="258" t="s">
        <v>193</v>
      </c>
    </row>
    <row r="18" spans="4:4" ht="15" customHeight="1" x14ac:dyDescent="0.25">
      <c r="D18" s="258" t="s">
        <v>194</v>
      </c>
    </row>
    <row r="19" spans="4:4" ht="15" customHeight="1" x14ac:dyDescent="0.25">
      <c r="D19" s="258" t="s">
        <v>195</v>
      </c>
    </row>
    <row r="20" spans="4:4" ht="15" customHeight="1" x14ac:dyDescent="0.25">
      <c r="D20" s="211" t="s">
        <v>196</v>
      </c>
    </row>
    <row r="21" spans="4:4" ht="15" customHeight="1" x14ac:dyDescent="0.25">
      <c r="D21" s="258" t="s">
        <v>197</v>
      </c>
    </row>
    <row r="22" spans="4:4" ht="15" customHeight="1" x14ac:dyDescent="0.25">
      <c r="D22" s="258" t="s">
        <v>198</v>
      </c>
    </row>
  </sheetData>
  <sheetProtection algorithmName="SHA-512" hashValue="/21xfLO3NBogUo2L8weCijiXFYc1hP0IiGT/rQcW7xCgfCNWcQX2CznU/93UIagBSjEOwkfA0JvNqeXmF2SARw==" saltValue="EQXYA2mR4XWJKRFkX5oSpQ==" spinCount="100000" sheet="1" objects="1" scenarios="1" selectLockedCells="1"/>
  <phoneticPr fontId="15" type="noConversion"/>
  <printOptions gridLines="1"/>
  <pageMargins left="0.74803149606299213" right="0.74803149606299213" top="0.98425196850393704" bottom="0.98425196850393704" header="0.51181102362204722" footer="0.51181102362204722"/>
  <pageSetup paperSize="9" scale="81" orientation="portrait" horizontalDpi="4294967292" verticalDpi="300" r:id="rId1"/>
  <headerFooter alignWithMargins="0">
    <oddFooter>&amp;L&amp;8Erna Olislaegers
&amp;D at &amp;T&amp;C&amp;8&amp;P/&amp;N&amp;R&amp;8File: &amp;F
Sheet: &amp;A</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D6150-1788-4214-AC22-556142F448E7}">
  <sheetPr codeName="Sheet511">
    <tabColor theme="7"/>
    <pageSetUpPr fitToPage="1"/>
  </sheetPr>
  <dimension ref="A1:X59"/>
  <sheetViews>
    <sheetView showGridLines="0" zoomScale="85" zoomScaleNormal="85" workbookViewId="0">
      <selection activeCell="L8" sqref="L8"/>
    </sheetView>
  </sheetViews>
  <sheetFormatPr defaultColWidth="9.140625" defaultRowHeight="15" customHeight="1" x14ac:dyDescent="0.2"/>
  <cols>
    <col min="1" max="1" width="22.42578125" style="91" customWidth="1"/>
    <col min="2" max="2" width="31.42578125" style="91" customWidth="1"/>
    <col min="3" max="3" width="23" style="91" customWidth="1"/>
    <col min="4" max="24" width="12.7109375" style="91" customWidth="1"/>
    <col min="25" max="26" width="9.7109375" style="91" customWidth="1"/>
    <col min="27" max="27" width="11.28515625" style="91" customWidth="1"/>
    <col min="28" max="16384" width="9.140625" style="91"/>
  </cols>
  <sheetData>
    <row r="1" spans="1:24" ht="30" x14ac:dyDescent="0.2">
      <c r="A1" s="22" t="s">
        <v>148</v>
      </c>
    </row>
    <row r="2" spans="1:24" ht="15" customHeight="1" thickBot="1" x14ac:dyDescent="0.25">
      <c r="A2" s="92"/>
    </row>
    <row r="3" spans="1:24" ht="15" customHeight="1" thickBot="1" x14ac:dyDescent="0.25">
      <c r="A3" s="93" t="s">
        <v>10</v>
      </c>
      <c r="B3" s="94" t="str">
        <f>IF(ISBLANK(Projectacroniem),"",Projectacroniem)</f>
        <v/>
      </c>
    </row>
    <row r="4" spans="1:24" ht="15" customHeight="1" thickBot="1" x14ac:dyDescent="0.25"/>
    <row r="5" spans="1:24" ht="15" customHeight="1" thickBot="1" x14ac:dyDescent="0.25">
      <c r="A5" s="435" t="s">
        <v>46</v>
      </c>
      <c r="B5" s="435"/>
      <c r="C5" s="436"/>
      <c r="D5" s="434" t="s">
        <v>15</v>
      </c>
      <c r="E5" s="435"/>
      <c r="F5" s="435"/>
      <c r="G5" s="436"/>
      <c r="H5" s="427" t="s">
        <v>56</v>
      </c>
      <c r="I5" s="427"/>
      <c r="J5" s="427"/>
      <c r="K5" s="428"/>
      <c r="L5" s="426" t="s">
        <v>50</v>
      </c>
      <c r="M5" s="427"/>
      <c r="N5" s="427"/>
      <c r="O5" s="427"/>
      <c r="P5" s="427"/>
      <c r="Q5" s="427"/>
      <c r="R5" s="427"/>
      <c r="S5" s="427"/>
      <c r="T5" s="427"/>
      <c r="U5" s="427"/>
      <c r="V5" s="427"/>
      <c r="W5" s="427"/>
      <c r="X5" s="428"/>
    </row>
    <row r="6" spans="1:24" ht="30" customHeight="1" thickBot="1" x14ac:dyDescent="0.25">
      <c r="A6" s="438"/>
      <c r="B6" s="438"/>
      <c r="C6" s="439"/>
      <c r="D6" s="437"/>
      <c r="E6" s="438"/>
      <c r="F6" s="438"/>
      <c r="G6" s="439"/>
      <c r="H6" s="429" t="s">
        <v>463</v>
      </c>
      <c r="I6" s="430"/>
      <c r="J6" s="430"/>
      <c r="K6" s="431"/>
      <c r="L6" s="426" t="s">
        <v>136</v>
      </c>
      <c r="M6" s="427"/>
      <c r="N6" s="427"/>
      <c r="O6" s="428"/>
      <c r="P6" s="426" t="s">
        <v>57</v>
      </c>
      <c r="Q6" s="427"/>
      <c r="R6" s="427"/>
      <c r="S6" s="428"/>
      <c r="T6" s="432" t="s">
        <v>156</v>
      </c>
      <c r="U6" s="426" t="s">
        <v>254</v>
      </c>
      <c r="V6" s="427"/>
      <c r="W6" s="427"/>
      <c r="X6" s="428"/>
    </row>
    <row r="7" spans="1:24" ht="45" customHeight="1" thickBot="1" x14ac:dyDescent="0.25">
      <c r="A7" s="339" t="s">
        <v>46</v>
      </c>
      <c r="B7" s="340" t="s">
        <v>51</v>
      </c>
      <c r="C7" s="341" t="s">
        <v>1</v>
      </c>
      <c r="D7" s="342" t="s">
        <v>121</v>
      </c>
      <c r="E7" s="343" t="s">
        <v>122</v>
      </c>
      <c r="F7" s="344" t="s">
        <v>123</v>
      </c>
      <c r="G7" s="345" t="s">
        <v>106</v>
      </c>
      <c r="H7" s="342" t="s">
        <v>126</v>
      </c>
      <c r="I7" s="343" t="s">
        <v>124</v>
      </c>
      <c r="J7" s="346" t="s">
        <v>125</v>
      </c>
      <c r="K7" s="346" t="s">
        <v>105</v>
      </c>
      <c r="L7" s="347" t="s">
        <v>150</v>
      </c>
      <c r="M7" s="343" t="s">
        <v>151</v>
      </c>
      <c r="N7" s="348" t="s">
        <v>84</v>
      </c>
      <c r="O7" s="344" t="s">
        <v>54</v>
      </c>
      <c r="P7" s="342" t="s">
        <v>127</v>
      </c>
      <c r="Q7" s="349" t="s">
        <v>128</v>
      </c>
      <c r="R7" s="350" t="s">
        <v>129</v>
      </c>
      <c r="S7" s="346" t="s">
        <v>130</v>
      </c>
      <c r="T7" s="433"/>
      <c r="U7" s="342" t="s">
        <v>318</v>
      </c>
      <c r="V7" s="349" t="s">
        <v>319</v>
      </c>
      <c r="W7" s="350" t="s">
        <v>320</v>
      </c>
      <c r="X7" s="346" t="s">
        <v>321</v>
      </c>
    </row>
    <row r="8" spans="1:24" ht="15" customHeight="1" x14ac:dyDescent="0.2">
      <c r="A8" s="95" t="s">
        <v>58</v>
      </c>
      <c r="B8" s="96" t="str">
        <f>_xlfn.XLOOKUP($A8,Table_LuT_Deelnemers[ID Deelnemer],Table_LuT_Deelnemers[Naam Organisatie],"",0,1)</f>
        <v/>
      </c>
      <c r="C8" s="96" t="str">
        <f>_xlfn.XLOOKUP($A8,Table_LuT_Deelnemers[ID Deelnemer],Table_LuT_Deelnemers[Type Organisatie],"",0,1)</f>
        <v/>
      </c>
      <c r="D8" s="97" cm="1">
        <f t="array" aca="1" ref="D8" ca="1">INDIRECT("'"&amp;$A8&amp;"'!Kosten_FO")</f>
        <v>0</v>
      </c>
      <c r="E8" s="98" cm="1">
        <f t="array" aca="1" ref="E8" ca="1">INDIRECT("'"&amp;$A8&amp;"'!Kosten_IO")</f>
        <v>0</v>
      </c>
      <c r="F8" s="99" cm="1">
        <f t="array" aca="1" ref="F8" ca="1">INDIRECT("'"&amp;$A8&amp;"'!Kosten_EO")</f>
        <v>0</v>
      </c>
      <c r="G8" s="100" cm="1">
        <f t="array" aca="1" ref="G8" ca="1">INDIRECT("'"&amp;$A8&amp;"'!Kosten_Totaal")</f>
        <v>0</v>
      </c>
      <c r="H8" s="101" cm="1">
        <f t="array" aca="1" ref="H8" ca="1">INDIRECT("'"&amp;$A8&amp;"'!Max_Subsidie_FO")</f>
        <v>0</v>
      </c>
      <c r="I8" s="102" cm="1">
        <f t="array" aca="1" ref="I8" ca="1">INDIRECT("'"&amp;$A8&amp;"'!Max_Subsidie_IO")</f>
        <v>0</v>
      </c>
      <c r="J8" s="103" cm="1">
        <f t="array" aca="1" ref="J8" ca="1">INDIRECT("'"&amp;$A8&amp;"'!Max_Subsidie_EO")</f>
        <v>0</v>
      </c>
      <c r="K8" s="104" cm="1">
        <f t="array" aca="1" ref="K8" ca="1">INDIRECT("'"&amp;$A8&amp;"'!Max_Subsidie_Totaal")</f>
        <v>0</v>
      </c>
      <c r="L8" s="105"/>
      <c r="M8" s="106"/>
      <c r="N8" s="107"/>
      <c r="O8" s="108"/>
      <c r="P8" s="360"/>
      <c r="Q8" s="106"/>
      <c r="R8" s="108"/>
      <c r="S8" s="109">
        <f>SUBTOTAL(9,P8:R8)</f>
        <v>0</v>
      </c>
      <c r="T8" s="109">
        <f>SUBTOTAL(9,M8:S8)</f>
        <v>0</v>
      </c>
      <c r="U8" s="365" t="str">
        <f>IF(P8=0,"",IFERROR(P8/D8,""))</f>
        <v/>
      </c>
      <c r="V8" s="366" t="str">
        <f t="shared" ref="V8:V27" si="0">IF(Q8=0,"",IFERROR(Q8/E8,""))</f>
        <v/>
      </c>
      <c r="W8" s="367" t="str">
        <f t="shared" ref="W8:W27" si="1">IF(R8=0,"",IFERROR(R8/F8,""))</f>
        <v/>
      </c>
      <c r="X8" s="291" t="str">
        <f t="shared" ref="X8:X27" si="2">IF(S8=0,"",IFERROR(S8/G8,""))</f>
        <v/>
      </c>
    </row>
    <row r="9" spans="1:24" ht="15" customHeight="1" x14ac:dyDescent="0.2">
      <c r="A9" s="110" t="s">
        <v>59</v>
      </c>
      <c r="B9" s="111" t="str">
        <f>_xlfn.XLOOKUP($A9,Table_LuT_Deelnemers[ID Deelnemer],Table_LuT_Deelnemers[Naam Organisatie],"",0,1)</f>
        <v/>
      </c>
      <c r="C9" s="112" t="str">
        <f>_xlfn.XLOOKUP($A9,Table_LuT_Deelnemers[ID Deelnemer],Table_LuT_Deelnemers[Type Organisatie],"",0,1)</f>
        <v/>
      </c>
      <c r="D9" s="113" cm="1">
        <f t="array" aca="1" ref="D9" ca="1">INDIRECT("'"&amp;$A9&amp;"'!Kosten_FO")</f>
        <v>0</v>
      </c>
      <c r="E9" s="114" cm="1">
        <f t="array" aca="1" ref="E9" ca="1">INDIRECT("'"&amp;$A9&amp;"'!Kosten_IO")</f>
        <v>0</v>
      </c>
      <c r="F9" s="115" cm="1">
        <f t="array" aca="1" ref="F9" ca="1">INDIRECT("'"&amp;$A9&amp;"'!Kosten_EO")</f>
        <v>0</v>
      </c>
      <c r="G9" s="116" cm="1">
        <f t="array" aca="1" ref="G9" ca="1">INDIRECT("'"&amp;$A9&amp;"'!Kosten_Totaal")</f>
        <v>0</v>
      </c>
      <c r="H9" s="117" cm="1">
        <f t="array" aca="1" ref="H9" ca="1">INDIRECT("'"&amp;$A9&amp;"'!Max_Subsidie_FO")</f>
        <v>0</v>
      </c>
      <c r="I9" s="118" cm="1">
        <f t="array" aca="1" ref="I9" ca="1">INDIRECT("'"&amp;$A9&amp;"'!Max_Subsidie_IO")</f>
        <v>0</v>
      </c>
      <c r="J9" s="119" cm="1">
        <f t="array" aca="1" ref="J9" ca="1">INDIRECT("'"&amp;$A9&amp;"'!Max_Subsidie_EO")</f>
        <v>0</v>
      </c>
      <c r="K9" s="120" cm="1">
        <f t="array" aca="1" ref="K9" ca="1">INDIRECT("'"&amp;$A9&amp;"'!Max_Subsidie_Totaal")</f>
        <v>0</v>
      </c>
      <c r="L9" s="121"/>
      <c r="M9" s="122"/>
      <c r="N9" s="122"/>
      <c r="O9" s="124"/>
      <c r="P9" s="361"/>
      <c r="Q9" s="122"/>
      <c r="R9" s="124"/>
      <c r="S9" s="125">
        <f t="shared" ref="S9:S27" si="3">SUBTOTAL(9,P9:R9)</f>
        <v>0</v>
      </c>
      <c r="T9" s="125">
        <f t="shared" ref="T9:T27" si="4">SUBTOTAL(9,M9:S9)</f>
        <v>0</v>
      </c>
      <c r="U9" s="365" t="str">
        <f t="shared" ref="U9:U27" si="5">IF(P9=0,"",IFERROR(P9/D9,""))</f>
        <v/>
      </c>
      <c r="V9" s="368" t="str">
        <f t="shared" si="0"/>
        <v/>
      </c>
      <c r="W9" s="369" t="str">
        <f t="shared" si="1"/>
        <v/>
      </c>
      <c r="X9" s="292" t="str">
        <f t="shared" si="2"/>
        <v/>
      </c>
    </row>
    <row r="10" spans="1:24" ht="15" customHeight="1" x14ac:dyDescent="0.2">
      <c r="A10" s="110" t="s">
        <v>60</v>
      </c>
      <c r="B10" s="111" t="str">
        <f>_xlfn.XLOOKUP($A10,Table_LuT_Deelnemers[ID Deelnemer],Table_LuT_Deelnemers[Naam Organisatie],"",0,1)</f>
        <v/>
      </c>
      <c r="C10" s="126" t="str">
        <f>_xlfn.XLOOKUP($A10,Table_LuT_Deelnemers[ID Deelnemer],Table_LuT_Deelnemers[Type Organisatie],"",0,1)</f>
        <v/>
      </c>
      <c r="D10" s="127" cm="1">
        <f t="array" aca="1" ref="D10" ca="1">INDIRECT("'"&amp;$A10&amp;"'!Kosten_FO")</f>
        <v>0</v>
      </c>
      <c r="E10" s="128" cm="1">
        <f t="array" aca="1" ref="E10" ca="1">INDIRECT("'"&amp;$A10&amp;"'!Kosten_IO")</f>
        <v>0</v>
      </c>
      <c r="F10" s="129" cm="1">
        <f t="array" aca="1" ref="F10" ca="1">INDIRECT("'"&amp;$A10&amp;"'!Kosten_EO")</f>
        <v>0</v>
      </c>
      <c r="G10" s="130" cm="1">
        <f t="array" aca="1" ref="G10" ca="1">INDIRECT("'"&amp;$A10&amp;"'!Kosten_Totaal")</f>
        <v>0</v>
      </c>
      <c r="H10" s="117" cm="1">
        <f t="array" aca="1" ref="H10" ca="1">INDIRECT("'"&amp;$A10&amp;"'!Max_Subsidie_FO")</f>
        <v>0</v>
      </c>
      <c r="I10" s="118" cm="1">
        <f t="array" aca="1" ref="I10" ca="1">INDIRECT("'"&amp;$A10&amp;"'!Max_Subsidie_IO")</f>
        <v>0</v>
      </c>
      <c r="J10" s="119" cm="1">
        <f t="array" aca="1" ref="J10" ca="1">INDIRECT("'"&amp;$A10&amp;"'!Max_Subsidie_EO")</f>
        <v>0</v>
      </c>
      <c r="K10" s="120" cm="1">
        <f t="array" aca="1" ref="K10" ca="1">INDIRECT("'"&amp;$A10&amp;"'!Max_Subsidie_Totaal")</f>
        <v>0</v>
      </c>
      <c r="L10" s="121"/>
      <c r="M10" s="122"/>
      <c r="N10" s="122"/>
      <c r="O10" s="124"/>
      <c r="P10" s="361"/>
      <c r="Q10" s="122"/>
      <c r="R10" s="124"/>
      <c r="S10" s="125">
        <f t="shared" si="3"/>
        <v>0</v>
      </c>
      <c r="T10" s="125">
        <f t="shared" si="4"/>
        <v>0</v>
      </c>
      <c r="U10" s="365" t="str">
        <f t="shared" si="5"/>
        <v/>
      </c>
      <c r="V10" s="368" t="str">
        <f t="shared" si="0"/>
        <v/>
      </c>
      <c r="W10" s="369" t="str">
        <f t="shared" si="1"/>
        <v/>
      </c>
      <c r="X10" s="292" t="str">
        <f t="shared" si="2"/>
        <v/>
      </c>
    </row>
    <row r="11" spans="1:24" ht="15" customHeight="1" x14ac:dyDescent="0.2">
      <c r="A11" s="110" t="s">
        <v>61</v>
      </c>
      <c r="B11" s="111" t="str">
        <f>_xlfn.XLOOKUP($A11,Table_LuT_Deelnemers[ID Deelnemer],Table_LuT_Deelnemers[Naam Organisatie],"",0,1)</f>
        <v/>
      </c>
      <c r="C11" s="126" t="str">
        <f>_xlfn.XLOOKUP($A11,Table_LuT_Deelnemers[ID Deelnemer],Table_LuT_Deelnemers[Type Organisatie],"",0,1)</f>
        <v/>
      </c>
      <c r="D11" s="127" cm="1">
        <f t="array" aca="1" ref="D11" ca="1">INDIRECT("'"&amp;$A11&amp;"'!Kosten_FO")</f>
        <v>0</v>
      </c>
      <c r="E11" s="128" cm="1">
        <f t="array" aca="1" ref="E11" ca="1">INDIRECT("'"&amp;$A11&amp;"'!Kosten_IO")</f>
        <v>0</v>
      </c>
      <c r="F11" s="129" cm="1">
        <f t="array" aca="1" ref="F11" ca="1">INDIRECT("'"&amp;$A11&amp;"'!Kosten_EO")</f>
        <v>0</v>
      </c>
      <c r="G11" s="130" cm="1">
        <f t="array" aca="1" ref="G11" ca="1">INDIRECT("'"&amp;$A11&amp;"'!Kosten_Totaal")</f>
        <v>0</v>
      </c>
      <c r="H11" s="117" cm="1">
        <f t="array" aca="1" ref="H11" ca="1">INDIRECT("'"&amp;$A11&amp;"'!Max_Subsidie_FO")</f>
        <v>0</v>
      </c>
      <c r="I11" s="118" cm="1">
        <f t="array" aca="1" ref="I11" ca="1">INDIRECT("'"&amp;$A11&amp;"'!Max_Subsidie_IO")</f>
        <v>0</v>
      </c>
      <c r="J11" s="119" cm="1">
        <f t="array" aca="1" ref="J11" ca="1">INDIRECT("'"&amp;$A11&amp;"'!Max_Subsidie_EO")</f>
        <v>0</v>
      </c>
      <c r="K11" s="120" cm="1">
        <f t="array" aca="1" ref="K11" ca="1">INDIRECT("'"&amp;$A11&amp;"'!Max_Subsidie_Totaal")</f>
        <v>0</v>
      </c>
      <c r="L11" s="121"/>
      <c r="M11" s="122"/>
      <c r="N11" s="123"/>
      <c r="O11" s="124"/>
      <c r="P11" s="361"/>
      <c r="Q11" s="122"/>
      <c r="R11" s="124"/>
      <c r="S11" s="125">
        <f t="shared" si="3"/>
        <v>0</v>
      </c>
      <c r="T11" s="125">
        <f t="shared" si="4"/>
        <v>0</v>
      </c>
      <c r="U11" s="365" t="str">
        <f t="shared" si="5"/>
        <v/>
      </c>
      <c r="V11" s="368" t="str">
        <f t="shared" si="0"/>
        <v/>
      </c>
      <c r="W11" s="369" t="str">
        <f t="shared" si="1"/>
        <v/>
      </c>
      <c r="X11" s="292" t="str">
        <f t="shared" si="2"/>
        <v/>
      </c>
    </row>
    <row r="12" spans="1:24" ht="15" customHeight="1" x14ac:dyDescent="0.2">
      <c r="A12" s="110" t="s">
        <v>62</v>
      </c>
      <c r="B12" s="111" t="str">
        <f>_xlfn.XLOOKUP($A12,Table_LuT_Deelnemers[ID Deelnemer],Table_LuT_Deelnemers[Naam Organisatie],"",0,1)</f>
        <v/>
      </c>
      <c r="C12" s="126" t="str">
        <f>_xlfn.XLOOKUP($A12,Table_LuT_Deelnemers[ID Deelnemer],Table_LuT_Deelnemers[Type Organisatie],"",0,1)</f>
        <v/>
      </c>
      <c r="D12" s="127" cm="1">
        <f t="array" aca="1" ref="D12" ca="1">INDIRECT("'"&amp;$A12&amp;"'!Kosten_FO")</f>
        <v>0</v>
      </c>
      <c r="E12" s="128" cm="1">
        <f t="array" aca="1" ref="E12" ca="1">INDIRECT("'"&amp;$A12&amp;"'!Kosten_IO")</f>
        <v>0</v>
      </c>
      <c r="F12" s="129" cm="1">
        <f t="array" aca="1" ref="F12" ca="1">INDIRECT("'"&amp;$A12&amp;"'!Kosten_EO")</f>
        <v>0</v>
      </c>
      <c r="G12" s="130" cm="1">
        <f t="array" aca="1" ref="G12" ca="1">INDIRECT("'"&amp;$A12&amp;"'!Kosten_Totaal")</f>
        <v>0</v>
      </c>
      <c r="H12" s="117" cm="1">
        <f t="array" aca="1" ref="H12" ca="1">INDIRECT("'"&amp;$A12&amp;"'!Max_Subsidie_FO")</f>
        <v>0</v>
      </c>
      <c r="I12" s="118" cm="1">
        <f t="array" aca="1" ref="I12" ca="1">INDIRECT("'"&amp;$A12&amp;"'!Max_Subsidie_IO")</f>
        <v>0</v>
      </c>
      <c r="J12" s="119" cm="1">
        <f t="array" aca="1" ref="J12" ca="1">INDIRECT("'"&amp;$A12&amp;"'!Max_Subsidie_EO")</f>
        <v>0</v>
      </c>
      <c r="K12" s="120" cm="1">
        <f t="array" aca="1" ref="K12" ca="1">INDIRECT("'"&amp;$A12&amp;"'!Max_Subsidie_Totaal")</f>
        <v>0</v>
      </c>
      <c r="L12" s="121"/>
      <c r="M12" s="122"/>
      <c r="N12" s="123"/>
      <c r="O12" s="124"/>
      <c r="P12" s="361"/>
      <c r="Q12" s="122"/>
      <c r="R12" s="124"/>
      <c r="S12" s="125">
        <f t="shared" si="3"/>
        <v>0</v>
      </c>
      <c r="T12" s="125">
        <f t="shared" si="4"/>
        <v>0</v>
      </c>
      <c r="U12" s="365" t="str">
        <f t="shared" si="5"/>
        <v/>
      </c>
      <c r="V12" s="368" t="str">
        <f t="shared" si="0"/>
        <v/>
      </c>
      <c r="W12" s="369" t="str">
        <f t="shared" si="1"/>
        <v/>
      </c>
      <c r="X12" s="292" t="str">
        <f t="shared" si="2"/>
        <v/>
      </c>
    </row>
    <row r="13" spans="1:24" ht="15" customHeight="1" x14ac:dyDescent="0.2">
      <c r="A13" s="110" t="s">
        <v>63</v>
      </c>
      <c r="B13" s="111" t="str">
        <f>_xlfn.XLOOKUP($A13,Table_LuT_Deelnemers[ID Deelnemer],Table_LuT_Deelnemers[Naam Organisatie],"",0,1)</f>
        <v/>
      </c>
      <c r="C13" s="126" t="str">
        <f>_xlfn.XLOOKUP($A13,Table_LuT_Deelnemers[ID Deelnemer],Table_LuT_Deelnemers[Type Organisatie],"",0,1)</f>
        <v/>
      </c>
      <c r="D13" s="127" cm="1">
        <f t="array" aca="1" ref="D13" ca="1">INDIRECT("'"&amp;$A13&amp;"'!Kosten_FO")</f>
        <v>0</v>
      </c>
      <c r="E13" s="128" cm="1">
        <f t="array" aca="1" ref="E13" ca="1">INDIRECT("'"&amp;$A13&amp;"'!Kosten_IO")</f>
        <v>0</v>
      </c>
      <c r="F13" s="129" cm="1">
        <f t="array" aca="1" ref="F13" ca="1">INDIRECT("'"&amp;$A13&amp;"'!Kosten_EO")</f>
        <v>0</v>
      </c>
      <c r="G13" s="130" cm="1">
        <f t="array" aca="1" ref="G13" ca="1">INDIRECT("'"&amp;$A13&amp;"'!Kosten_Totaal")</f>
        <v>0</v>
      </c>
      <c r="H13" s="117" cm="1">
        <f t="array" aca="1" ref="H13" ca="1">INDIRECT("'"&amp;$A13&amp;"'!Max_Subsidie_FO")</f>
        <v>0</v>
      </c>
      <c r="I13" s="118" cm="1">
        <f t="array" aca="1" ref="I13" ca="1">INDIRECT("'"&amp;$A13&amp;"'!Max_Subsidie_IO")</f>
        <v>0</v>
      </c>
      <c r="J13" s="119" cm="1">
        <f t="array" aca="1" ref="J13" ca="1">INDIRECT("'"&amp;$A13&amp;"'!Max_Subsidie_EO")</f>
        <v>0</v>
      </c>
      <c r="K13" s="120" cm="1">
        <f t="array" aca="1" ref="K13" ca="1">INDIRECT("'"&amp;$A13&amp;"'!Max_Subsidie_Totaal")</f>
        <v>0</v>
      </c>
      <c r="L13" s="121"/>
      <c r="M13" s="122"/>
      <c r="N13" s="123"/>
      <c r="O13" s="124"/>
      <c r="P13" s="361"/>
      <c r="Q13" s="122"/>
      <c r="R13" s="124"/>
      <c r="S13" s="125">
        <f t="shared" si="3"/>
        <v>0</v>
      </c>
      <c r="T13" s="125">
        <f t="shared" si="4"/>
        <v>0</v>
      </c>
      <c r="U13" s="365" t="str">
        <f t="shared" si="5"/>
        <v/>
      </c>
      <c r="V13" s="368" t="str">
        <f t="shared" si="0"/>
        <v/>
      </c>
      <c r="W13" s="369" t="str">
        <f t="shared" si="1"/>
        <v/>
      </c>
      <c r="X13" s="292" t="str">
        <f t="shared" si="2"/>
        <v/>
      </c>
    </row>
    <row r="14" spans="1:24" ht="15" customHeight="1" x14ac:dyDescent="0.2">
      <c r="A14" s="110" t="s">
        <v>64</v>
      </c>
      <c r="B14" s="111" t="str">
        <f>_xlfn.XLOOKUP($A14,Table_LuT_Deelnemers[ID Deelnemer],Table_LuT_Deelnemers[Naam Organisatie],"",0,1)</f>
        <v/>
      </c>
      <c r="C14" s="126" t="str">
        <f>_xlfn.XLOOKUP($A14,Table_LuT_Deelnemers[ID Deelnemer],Table_LuT_Deelnemers[Type Organisatie],"",0,1)</f>
        <v/>
      </c>
      <c r="D14" s="127" cm="1">
        <f t="array" aca="1" ref="D14" ca="1">INDIRECT("'"&amp;$A14&amp;"'!Kosten_FO")</f>
        <v>0</v>
      </c>
      <c r="E14" s="128" cm="1">
        <f t="array" aca="1" ref="E14" ca="1">INDIRECT("'"&amp;$A14&amp;"'!Kosten_IO")</f>
        <v>0</v>
      </c>
      <c r="F14" s="129" cm="1">
        <f t="array" aca="1" ref="F14" ca="1">INDIRECT("'"&amp;$A14&amp;"'!Kosten_EO")</f>
        <v>0</v>
      </c>
      <c r="G14" s="130" cm="1">
        <f t="array" aca="1" ref="G14" ca="1">INDIRECT("'"&amp;$A14&amp;"'!Kosten_Totaal")</f>
        <v>0</v>
      </c>
      <c r="H14" s="117" cm="1">
        <f t="array" aca="1" ref="H14" ca="1">INDIRECT("'"&amp;$A14&amp;"'!Max_Subsidie_FO")</f>
        <v>0</v>
      </c>
      <c r="I14" s="118" cm="1">
        <f t="array" aca="1" ref="I14" ca="1">INDIRECT("'"&amp;$A14&amp;"'!Max_Subsidie_IO")</f>
        <v>0</v>
      </c>
      <c r="J14" s="119" cm="1">
        <f t="array" aca="1" ref="J14" ca="1">INDIRECT("'"&amp;$A14&amp;"'!Max_Subsidie_EO")</f>
        <v>0</v>
      </c>
      <c r="K14" s="120" cm="1">
        <f t="array" aca="1" ref="K14" ca="1">INDIRECT("'"&amp;$A14&amp;"'!Max_Subsidie_Totaal")</f>
        <v>0</v>
      </c>
      <c r="L14" s="121"/>
      <c r="M14" s="122"/>
      <c r="N14" s="123"/>
      <c r="O14" s="124"/>
      <c r="P14" s="361"/>
      <c r="Q14" s="122"/>
      <c r="R14" s="124"/>
      <c r="S14" s="125">
        <f t="shared" si="3"/>
        <v>0</v>
      </c>
      <c r="T14" s="125">
        <f t="shared" si="4"/>
        <v>0</v>
      </c>
      <c r="U14" s="365" t="str">
        <f t="shared" si="5"/>
        <v/>
      </c>
      <c r="V14" s="368" t="str">
        <f t="shared" si="0"/>
        <v/>
      </c>
      <c r="W14" s="369" t="str">
        <f t="shared" si="1"/>
        <v/>
      </c>
      <c r="X14" s="292" t="str">
        <f t="shared" si="2"/>
        <v/>
      </c>
    </row>
    <row r="15" spans="1:24" ht="15" customHeight="1" x14ac:dyDescent="0.2">
      <c r="A15" s="110" t="s">
        <v>65</v>
      </c>
      <c r="B15" s="111" t="str">
        <f>_xlfn.XLOOKUP($A15,Table_LuT_Deelnemers[ID Deelnemer],Table_LuT_Deelnemers[Naam Organisatie],"",0,1)</f>
        <v/>
      </c>
      <c r="C15" s="126" t="str">
        <f>_xlfn.XLOOKUP($A15,Table_LuT_Deelnemers[ID Deelnemer],Table_LuT_Deelnemers[Type Organisatie],"",0,1)</f>
        <v/>
      </c>
      <c r="D15" s="127" cm="1">
        <f t="array" aca="1" ref="D15" ca="1">INDIRECT("'"&amp;$A15&amp;"'!Kosten_FO")</f>
        <v>0</v>
      </c>
      <c r="E15" s="128" cm="1">
        <f t="array" aca="1" ref="E15" ca="1">INDIRECT("'"&amp;$A15&amp;"'!Kosten_IO")</f>
        <v>0</v>
      </c>
      <c r="F15" s="129" cm="1">
        <f t="array" aca="1" ref="F15" ca="1">INDIRECT("'"&amp;$A15&amp;"'!Kosten_EO")</f>
        <v>0</v>
      </c>
      <c r="G15" s="130" cm="1">
        <f t="array" aca="1" ref="G15" ca="1">INDIRECT("'"&amp;$A15&amp;"'!Kosten_Totaal")</f>
        <v>0</v>
      </c>
      <c r="H15" s="117" cm="1">
        <f t="array" aca="1" ref="H15" ca="1">INDIRECT("'"&amp;$A15&amp;"'!Max_Subsidie_FO")</f>
        <v>0</v>
      </c>
      <c r="I15" s="118" cm="1">
        <f t="array" aca="1" ref="I15" ca="1">INDIRECT("'"&amp;$A15&amp;"'!Max_Subsidie_IO")</f>
        <v>0</v>
      </c>
      <c r="J15" s="119" cm="1">
        <f t="array" aca="1" ref="J15" ca="1">INDIRECT("'"&amp;$A15&amp;"'!Max_Subsidie_EO")</f>
        <v>0</v>
      </c>
      <c r="K15" s="120" cm="1">
        <f t="array" aca="1" ref="K15" ca="1">INDIRECT("'"&amp;$A15&amp;"'!Max_Subsidie_Totaal")</f>
        <v>0</v>
      </c>
      <c r="L15" s="121"/>
      <c r="M15" s="122"/>
      <c r="N15" s="123"/>
      <c r="O15" s="124"/>
      <c r="P15" s="361"/>
      <c r="Q15" s="122"/>
      <c r="R15" s="124"/>
      <c r="S15" s="125">
        <f t="shared" si="3"/>
        <v>0</v>
      </c>
      <c r="T15" s="125">
        <f t="shared" si="4"/>
        <v>0</v>
      </c>
      <c r="U15" s="365" t="str">
        <f t="shared" si="5"/>
        <v/>
      </c>
      <c r="V15" s="368" t="str">
        <f t="shared" si="0"/>
        <v/>
      </c>
      <c r="W15" s="369" t="str">
        <f t="shared" si="1"/>
        <v/>
      </c>
      <c r="X15" s="292" t="str">
        <f t="shared" si="2"/>
        <v/>
      </c>
    </row>
    <row r="16" spans="1:24" ht="15" customHeight="1" x14ac:dyDescent="0.2">
      <c r="A16" s="110" t="s">
        <v>66</v>
      </c>
      <c r="B16" s="111" t="str">
        <f>_xlfn.XLOOKUP($A16,Table_LuT_Deelnemers[ID Deelnemer],Table_LuT_Deelnemers[Naam Organisatie],"",0,1)</f>
        <v/>
      </c>
      <c r="C16" s="126" t="str">
        <f>_xlfn.XLOOKUP($A16,Table_LuT_Deelnemers[ID Deelnemer],Table_LuT_Deelnemers[Type Organisatie],"",0,1)</f>
        <v/>
      </c>
      <c r="D16" s="127" cm="1">
        <f t="array" aca="1" ref="D16" ca="1">INDIRECT("'"&amp;$A16&amp;"'!Kosten_FO")</f>
        <v>0</v>
      </c>
      <c r="E16" s="128" cm="1">
        <f t="array" aca="1" ref="E16" ca="1">INDIRECT("'"&amp;$A16&amp;"'!Kosten_IO")</f>
        <v>0</v>
      </c>
      <c r="F16" s="129" cm="1">
        <f t="array" aca="1" ref="F16" ca="1">INDIRECT("'"&amp;$A16&amp;"'!Kosten_EO")</f>
        <v>0</v>
      </c>
      <c r="G16" s="130" cm="1">
        <f t="array" aca="1" ref="G16" ca="1">INDIRECT("'"&amp;$A16&amp;"'!Kosten_Totaal")</f>
        <v>0</v>
      </c>
      <c r="H16" s="117" cm="1">
        <f t="array" aca="1" ref="H16" ca="1">INDIRECT("'"&amp;$A16&amp;"'!Max_Subsidie_FO")</f>
        <v>0</v>
      </c>
      <c r="I16" s="118" cm="1">
        <f t="array" aca="1" ref="I16" ca="1">INDIRECT("'"&amp;$A16&amp;"'!Max_Subsidie_IO")</f>
        <v>0</v>
      </c>
      <c r="J16" s="119" cm="1">
        <f t="array" aca="1" ref="J16" ca="1">INDIRECT("'"&amp;$A16&amp;"'!Max_Subsidie_EO")</f>
        <v>0</v>
      </c>
      <c r="K16" s="120" cm="1">
        <f t="array" aca="1" ref="K16" ca="1">INDIRECT("'"&amp;$A16&amp;"'!Max_Subsidie_Totaal")</f>
        <v>0</v>
      </c>
      <c r="L16" s="121"/>
      <c r="M16" s="122"/>
      <c r="N16" s="123"/>
      <c r="O16" s="124"/>
      <c r="P16" s="361"/>
      <c r="Q16" s="122"/>
      <c r="R16" s="124"/>
      <c r="S16" s="125">
        <f t="shared" si="3"/>
        <v>0</v>
      </c>
      <c r="T16" s="125">
        <f t="shared" si="4"/>
        <v>0</v>
      </c>
      <c r="U16" s="365" t="str">
        <f t="shared" si="5"/>
        <v/>
      </c>
      <c r="V16" s="368" t="str">
        <f t="shared" si="0"/>
        <v/>
      </c>
      <c r="W16" s="369" t="str">
        <f t="shared" si="1"/>
        <v/>
      </c>
      <c r="X16" s="292" t="str">
        <f t="shared" si="2"/>
        <v/>
      </c>
    </row>
    <row r="17" spans="1:24" ht="15" customHeight="1" x14ac:dyDescent="0.2">
      <c r="A17" s="259" t="s">
        <v>67</v>
      </c>
      <c r="B17" s="260" t="str">
        <f>_xlfn.XLOOKUP($A17,Table_LuT_Deelnemers[ID Deelnemer],Table_LuT_Deelnemers[Naam Organisatie],"",0,1)</f>
        <v/>
      </c>
      <c r="C17" s="261" t="str">
        <f>_xlfn.XLOOKUP($A17,Table_LuT_Deelnemers[ID Deelnemer],Table_LuT_Deelnemers[Type Organisatie],"",0,1)</f>
        <v/>
      </c>
      <c r="D17" s="262" cm="1">
        <f t="array" aca="1" ref="D17" ca="1">INDIRECT("'"&amp;$A17&amp;"'!Kosten_FO")</f>
        <v>0</v>
      </c>
      <c r="E17" s="263" cm="1">
        <f t="array" aca="1" ref="E17" ca="1">INDIRECT("'"&amp;$A17&amp;"'!Kosten_IO")</f>
        <v>0</v>
      </c>
      <c r="F17" s="264" cm="1">
        <f t="array" aca="1" ref="F17" ca="1">INDIRECT("'"&amp;$A17&amp;"'!Kosten_EO")</f>
        <v>0</v>
      </c>
      <c r="G17" s="265" cm="1">
        <f t="array" aca="1" ref="G17" ca="1">INDIRECT("'"&amp;$A17&amp;"'!Kosten_Totaal")</f>
        <v>0</v>
      </c>
      <c r="H17" s="266" cm="1">
        <f t="array" aca="1" ref="H17" ca="1">INDIRECT("'"&amp;$A17&amp;"'!Max_Subsidie_FO")</f>
        <v>0</v>
      </c>
      <c r="I17" s="267" cm="1">
        <f t="array" aca="1" ref="I17" ca="1">INDIRECT("'"&amp;$A17&amp;"'!Max_Subsidie_IO")</f>
        <v>0</v>
      </c>
      <c r="J17" s="268" cm="1">
        <f t="array" aca="1" ref="J17" ca="1">INDIRECT("'"&amp;$A17&amp;"'!Max_Subsidie_EO")</f>
        <v>0</v>
      </c>
      <c r="K17" s="269" cm="1">
        <f t="array" aca="1" ref="K17" ca="1">INDIRECT("'"&amp;$A17&amp;"'!Max_Subsidie_Totaal")</f>
        <v>0</v>
      </c>
      <c r="L17" s="270"/>
      <c r="M17" s="271"/>
      <c r="N17" s="272"/>
      <c r="O17" s="273"/>
      <c r="P17" s="362"/>
      <c r="Q17" s="271"/>
      <c r="R17" s="273"/>
      <c r="S17" s="274">
        <f t="shared" ref="S17:S26" si="6">SUBTOTAL(9,P17:R17)</f>
        <v>0</v>
      </c>
      <c r="T17" s="274">
        <f t="shared" ref="T17:T26" si="7">SUBTOTAL(9,M17:S17)</f>
        <v>0</v>
      </c>
      <c r="U17" s="365" t="str">
        <f t="shared" si="5"/>
        <v/>
      </c>
      <c r="V17" s="370" t="str">
        <f t="shared" si="0"/>
        <v/>
      </c>
      <c r="W17" s="371" t="str">
        <f t="shared" si="1"/>
        <v/>
      </c>
      <c r="X17" s="293" t="str">
        <f t="shared" si="2"/>
        <v/>
      </c>
    </row>
    <row r="18" spans="1:24" ht="15" customHeight="1" x14ac:dyDescent="0.2">
      <c r="A18" s="259" t="s">
        <v>189</v>
      </c>
      <c r="B18" s="260" t="str">
        <f>_xlfn.XLOOKUP($A18,Table_LuT_Deelnemers[ID Deelnemer],Table_LuT_Deelnemers[Naam Organisatie],"",0,1)</f>
        <v/>
      </c>
      <c r="C18" s="261" t="str">
        <f>_xlfn.XLOOKUP($A18,Table_LuT_Deelnemers[ID Deelnemer],Table_LuT_Deelnemers[Type Organisatie],"",0,1)</f>
        <v/>
      </c>
      <c r="D18" s="262" cm="1">
        <f t="array" aca="1" ref="D18" ca="1">INDIRECT("'"&amp;$A18&amp;"'!Kosten_FO")</f>
        <v>0</v>
      </c>
      <c r="E18" s="263" cm="1">
        <f t="array" aca="1" ref="E18" ca="1">INDIRECT("'"&amp;$A18&amp;"'!Kosten_IO")</f>
        <v>0</v>
      </c>
      <c r="F18" s="264" cm="1">
        <f t="array" aca="1" ref="F18" ca="1">INDIRECT("'"&amp;$A18&amp;"'!Kosten_EO")</f>
        <v>0</v>
      </c>
      <c r="G18" s="265" cm="1">
        <f t="array" aca="1" ref="G18" ca="1">INDIRECT("'"&amp;$A18&amp;"'!Kosten_Totaal")</f>
        <v>0</v>
      </c>
      <c r="H18" s="266" cm="1">
        <f t="array" aca="1" ref="H18" ca="1">INDIRECT("'"&amp;$A18&amp;"'!Max_Subsidie_FO")</f>
        <v>0</v>
      </c>
      <c r="I18" s="267" cm="1">
        <f t="array" aca="1" ref="I18" ca="1">INDIRECT("'"&amp;$A18&amp;"'!Max_Subsidie_IO")</f>
        <v>0</v>
      </c>
      <c r="J18" s="268" cm="1">
        <f t="array" aca="1" ref="J18" ca="1">INDIRECT("'"&amp;$A18&amp;"'!Max_Subsidie_EO")</f>
        <v>0</v>
      </c>
      <c r="K18" s="269" cm="1">
        <f t="array" aca="1" ref="K18" ca="1">INDIRECT("'"&amp;$A18&amp;"'!Max_Subsidie_Totaal")</f>
        <v>0</v>
      </c>
      <c r="L18" s="121"/>
      <c r="M18" s="271"/>
      <c r="N18" s="272"/>
      <c r="O18" s="273"/>
      <c r="P18" s="362"/>
      <c r="Q18" s="271"/>
      <c r="R18" s="273"/>
      <c r="S18" s="274">
        <f t="shared" si="6"/>
        <v>0</v>
      </c>
      <c r="T18" s="274">
        <f t="shared" si="7"/>
        <v>0</v>
      </c>
      <c r="U18" s="365" t="str">
        <f t="shared" si="5"/>
        <v/>
      </c>
      <c r="V18" s="370" t="str">
        <f t="shared" si="0"/>
        <v/>
      </c>
      <c r="W18" s="371" t="str">
        <f t="shared" si="1"/>
        <v/>
      </c>
      <c r="X18" s="293" t="str">
        <f t="shared" si="2"/>
        <v/>
      </c>
    </row>
    <row r="19" spans="1:24" ht="15" customHeight="1" x14ac:dyDescent="0.2">
      <c r="A19" s="259" t="s">
        <v>190</v>
      </c>
      <c r="B19" s="260" t="str">
        <f>_xlfn.XLOOKUP($A19,Table_LuT_Deelnemers[ID Deelnemer],Table_LuT_Deelnemers[Naam Organisatie],"",0,1)</f>
        <v/>
      </c>
      <c r="C19" s="261" t="str">
        <f>_xlfn.XLOOKUP($A19,Table_LuT_Deelnemers[ID Deelnemer],Table_LuT_Deelnemers[Type Organisatie],"",0,1)</f>
        <v/>
      </c>
      <c r="D19" s="262" cm="1">
        <f t="array" aca="1" ref="D19" ca="1">INDIRECT("'"&amp;$A19&amp;"'!Kosten_FO")</f>
        <v>0</v>
      </c>
      <c r="E19" s="263" cm="1">
        <f t="array" aca="1" ref="E19" ca="1">INDIRECT("'"&amp;$A19&amp;"'!Kosten_IO")</f>
        <v>0</v>
      </c>
      <c r="F19" s="264" cm="1">
        <f t="array" aca="1" ref="F19" ca="1">INDIRECT("'"&amp;$A19&amp;"'!Kosten_EO")</f>
        <v>0</v>
      </c>
      <c r="G19" s="265" cm="1">
        <f t="array" aca="1" ref="G19" ca="1">INDIRECT("'"&amp;$A19&amp;"'!Kosten_Totaal")</f>
        <v>0</v>
      </c>
      <c r="H19" s="266" cm="1">
        <f t="array" aca="1" ref="H19" ca="1">INDIRECT("'"&amp;$A19&amp;"'!Max_Subsidie_FO")</f>
        <v>0</v>
      </c>
      <c r="I19" s="267" cm="1">
        <f t="array" aca="1" ref="I19" ca="1">INDIRECT("'"&amp;$A19&amp;"'!Max_Subsidie_IO")</f>
        <v>0</v>
      </c>
      <c r="J19" s="268" cm="1">
        <f t="array" aca="1" ref="J19" ca="1">INDIRECT("'"&amp;$A19&amp;"'!Max_Subsidie_EO")</f>
        <v>0</v>
      </c>
      <c r="K19" s="269" cm="1">
        <f t="array" aca="1" ref="K19" ca="1">INDIRECT("'"&amp;$A19&amp;"'!Max_Subsidie_Totaal")</f>
        <v>0</v>
      </c>
      <c r="L19" s="270"/>
      <c r="M19" s="271"/>
      <c r="N19" s="272"/>
      <c r="O19" s="273"/>
      <c r="P19" s="362"/>
      <c r="Q19" s="271"/>
      <c r="R19" s="273"/>
      <c r="S19" s="274">
        <f t="shared" si="6"/>
        <v>0</v>
      </c>
      <c r="T19" s="274">
        <f t="shared" si="7"/>
        <v>0</v>
      </c>
      <c r="U19" s="365" t="str">
        <f t="shared" si="5"/>
        <v/>
      </c>
      <c r="V19" s="370" t="str">
        <f t="shared" si="0"/>
        <v/>
      </c>
      <c r="W19" s="371" t="str">
        <f t="shared" si="1"/>
        <v/>
      </c>
      <c r="X19" s="293" t="str">
        <f t="shared" si="2"/>
        <v/>
      </c>
    </row>
    <row r="20" spans="1:24" ht="15" customHeight="1" x14ac:dyDescent="0.2">
      <c r="A20" s="259" t="s">
        <v>191</v>
      </c>
      <c r="B20" s="260" t="str">
        <f>_xlfn.XLOOKUP($A20,Table_LuT_Deelnemers[ID Deelnemer],Table_LuT_Deelnemers[Naam Organisatie],"",0,1)</f>
        <v/>
      </c>
      <c r="C20" s="261" t="str">
        <f>_xlfn.XLOOKUP($A20,Table_LuT_Deelnemers[ID Deelnemer],Table_LuT_Deelnemers[Type Organisatie],"",0,1)</f>
        <v/>
      </c>
      <c r="D20" s="262" cm="1">
        <f t="array" aca="1" ref="D20" ca="1">INDIRECT("'"&amp;$A20&amp;"'!Kosten_FO")</f>
        <v>0</v>
      </c>
      <c r="E20" s="263" cm="1">
        <f t="array" aca="1" ref="E20" ca="1">INDIRECT("'"&amp;$A20&amp;"'!Kosten_IO")</f>
        <v>0</v>
      </c>
      <c r="F20" s="264" cm="1">
        <f t="array" aca="1" ref="F20" ca="1">INDIRECT("'"&amp;$A20&amp;"'!Kosten_EO")</f>
        <v>0</v>
      </c>
      <c r="G20" s="265" cm="1">
        <f t="array" aca="1" ref="G20" ca="1">INDIRECT("'"&amp;$A20&amp;"'!Kosten_Totaal")</f>
        <v>0</v>
      </c>
      <c r="H20" s="266" cm="1">
        <f t="array" aca="1" ref="H20" ca="1">INDIRECT("'"&amp;$A20&amp;"'!Max_Subsidie_FO")</f>
        <v>0</v>
      </c>
      <c r="I20" s="267" cm="1">
        <f t="array" aca="1" ref="I20" ca="1">INDIRECT("'"&amp;$A20&amp;"'!Max_Subsidie_IO")</f>
        <v>0</v>
      </c>
      <c r="J20" s="268" cm="1">
        <f t="array" aca="1" ref="J20" ca="1">INDIRECT("'"&amp;$A20&amp;"'!Max_Subsidie_EO")</f>
        <v>0</v>
      </c>
      <c r="K20" s="269" cm="1">
        <f t="array" aca="1" ref="K20" ca="1">INDIRECT("'"&amp;$A20&amp;"'!Max_Subsidie_Totaal")</f>
        <v>0</v>
      </c>
      <c r="L20" s="270"/>
      <c r="M20" s="271"/>
      <c r="N20" s="272"/>
      <c r="O20" s="273"/>
      <c r="P20" s="362"/>
      <c r="Q20" s="271"/>
      <c r="R20" s="273"/>
      <c r="S20" s="274">
        <f t="shared" si="6"/>
        <v>0</v>
      </c>
      <c r="T20" s="274">
        <f t="shared" si="7"/>
        <v>0</v>
      </c>
      <c r="U20" s="365" t="str">
        <f t="shared" si="5"/>
        <v/>
      </c>
      <c r="V20" s="370" t="str">
        <f t="shared" si="0"/>
        <v/>
      </c>
      <c r="W20" s="371" t="str">
        <f t="shared" si="1"/>
        <v/>
      </c>
      <c r="X20" s="293" t="str">
        <f t="shared" si="2"/>
        <v/>
      </c>
    </row>
    <row r="21" spans="1:24" ht="15" customHeight="1" x14ac:dyDescent="0.2">
      <c r="A21" s="259" t="s">
        <v>192</v>
      </c>
      <c r="B21" s="260" t="str">
        <f>_xlfn.XLOOKUP($A21,Table_LuT_Deelnemers[ID Deelnemer],Table_LuT_Deelnemers[Naam Organisatie],"",0,1)</f>
        <v/>
      </c>
      <c r="C21" s="261" t="str">
        <f>_xlfn.XLOOKUP($A21,Table_LuT_Deelnemers[ID Deelnemer],Table_LuT_Deelnemers[Type Organisatie],"",0,1)</f>
        <v/>
      </c>
      <c r="D21" s="262" cm="1">
        <f t="array" aca="1" ref="D21" ca="1">INDIRECT("'"&amp;$A21&amp;"'!Kosten_FO")</f>
        <v>0</v>
      </c>
      <c r="E21" s="263" cm="1">
        <f t="array" aca="1" ref="E21" ca="1">INDIRECT("'"&amp;$A21&amp;"'!Kosten_IO")</f>
        <v>0</v>
      </c>
      <c r="F21" s="264" cm="1">
        <f t="array" aca="1" ref="F21" ca="1">INDIRECT("'"&amp;$A21&amp;"'!Kosten_EO")</f>
        <v>0</v>
      </c>
      <c r="G21" s="265" cm="1">
        <f t="array" aca="1" ref="G21" ca="1">INDIRECT("'"&amp;$A21&amp;"'!Kosten_Totaal")</f>
        <v>0</v>
      </c>
      <c r="H21" s="266" cm="1">
        <f t="array" aca="1" ref="H21" ca="1">INDIRECT("'"&amp;$A21&amp;"'!Max_Subsidie_FO")</f>
        <v>0</v>
      </c>
      <c r="I21" s="267" cm="1">
        <f t="array" aca="1" ref="I21" ca="1">INDIRECT("'"&amp;$A21&amp;"'!Max_Subsidie_IO")</f>
        <v>0</v>
      </c>
      <c r="J21" s="268" cm="1">
        <f t="array" aca="1" ref="J21" ca="1">INDIRECT("'"&amp;$A21&amp;"'!Max_Subsidie_EO")</f>
        <v>0</v>
      </c>
      <c r="K21" s="269" cm="1">
        <f t="array" aca="1" ref="K21" ca="1">INDIRECT("'"&amp;$A21&amp;"'!Max_Subsidie_Totaal")</f>
        <v>0</v>
      </c>
      <c r="L21" s="121"/>
      <c r="M21" s="271"/>
      <c r="N21" s="272"/>
      <c r="O21" s="273"/>
      <c r="P21" s="362"/>
      <c r="Q21" s="271"/>
      <c r="R21" s="273"/>
      <c r="S21" s="274">
        <f t="shared" si="6"/>
        <v>0</v>
      </c>
      <c r="T21" s="274">
        <f t="shared" si="7"/>
        <v>0</v>
      </c>
      <c r="U21" s="365" t="str">
        <f t="shared" si="5"/>
        <v/>
      </c>
      <c r="V21" s="370" t="str">
        <f t="shared" si="0"/>
        <v/>
      </c>
      <c r="W21" s="371" t="str">
        <f t="shared" si="1"/>
        <v/>
      </c>
      <c r="X21" s="293" t="str">
        <f t="shared" si="2"/>
        <v/>
      </c>
    </row>
    <row r="22" spans="1:24" ht="15" customHeight="1" x14ac:dyDescent="0.2">
      <c r="A22" s="259" t="s">
        <v>193</v>
      </c>
      <c r="B22" s="260" t="str">
        <f>_xlfn.XLOOKUP($A22,Table_LuT_Deelnemers[ID Deelnemer],Table_LuT_Deelnemers[Naam Organisatie],"",0,1)</f>
        <v/>
      </c>
      <c r="C22" s="261" t="str">
        <f>_xlfn.XLOOKUP($A22,Table_LuT_Deelnemers[ID Deelnemer],Table_LuT_Deelnemers[Type Organisatie],"",0,1)</f>
        <v/>
      </c>
      <c r="D22" s="262" cm="1">
        <f t="array" aca="1" ref="D22" ca="1">INDIRECT("'"&amp;$A22&amp;"'!Kosten_FO")</f>
        <v>0</v>
      </c>
      <c r="E22" s="263" cm="1">
        <f t="array" aca="1" ref="E22" ca="1">INDIRECT("'"&amp;$A22&amp;"'!Kosten_IO")</f>
        <v>0</v>
      </c>
      <c r="F22" s="264" cm="1">
        <f t="array" aca="1" ref="F22" ca="1">INDIRECT("'"&amp;$A22&amp;"'!Kosten_EO")</f>
        <v>0</v>
      </c>
      <c r="G22" s="265" cm="1">
        <f t="array" aca="1" ref="G22" ca="1">INDIRECT("'"&amp;$A22&amp;"'!Kosten_Totaal")</f>
        <v>0</v>
      </c>
      <c r="H22" s="266" cm="1">
        <f t="array" aca="1" ref="H22" ca="1">INDIRECT("'"&amp;$A22&amp;"'!Max_Subsidie_FO")</f>
        <v>0</v>
      </c>
      <c r="I22" s="267" cm="1">
        <f t="array" aca="1" ref="I22" ca="1">INDIRECT("'"&amp;$A22&amp;"'!Max_Subsidie_IO")</f>
        <v>0</v>
      </c>
      <c r="J22" s="268" cm="1">
        <f t="array" aca="1" ref="J22" ca="1">INDIRECT("'"&amp;$A22&amp;"'!Max_Subsidie_EO")</f>
        <v>0</v>
      </c>
      <c r="K22" s="269" cm="1">
        <f t="array" aca="1" ref="K22" ca="1">INDIRECT("'"&amp;$A22&amp;"'!Max_Subsidie_Totaal")</f>
        <v>0</v>
      </c>
      <c r="L22" s="270"/>
      <c r="M22" s="271"/>
      <c r="N22" s="272"/>
      <c r="O22" s="273"/>
      <c r="P22" s="362"/>
      <c r="Q22" s="271"/>
      <c r="R22" s="273"/>
      <c r="S22" s="274">
        <f t="shared" si="6"/>
        <v>0</v>
      </c>
      <c r="T22" s="274">
        <f t="shared" si="7"/>
        <v>0</v>
      </c>
      <c r="U22" s="365" t="str">
        <f t="shared" si="5"/>
        <v/>
      </c>
      <c r="V22" s="370" t="str">
        <f t="shared" si="0"/>
        <v/>
      </c>
      <c r="W22" s="371" t="str">
        <f t="shared" si="1"/>
        <v/>
      </c>
      <c r="X22" s="293" t="str">
        <f t="shared" si="2"/>
        <v/>
      </c>
    </row>
    <row r="23" spans="1:24" ht="15" customHeight="1" x14ac:dyDescent="0.2">
      <c r="A23" s="259" t="s">
        <v>194</v>
      </c>
      <c r="B23" s="260" t="str">
        <f>_xlfn.XLOOKUP($A23,Table_LuT_Deelnemers[ID Deelnemer],Table_LuT_Deelnemers[Naam Organisatie],"",0,1)</f>
        <v/>
      </c>
      <c r="C23" s="261" t="str">
        <f>_xlfn.XLOOKUP($A23,Table_LuT_Deelnemers[ID Deelnemer],Table_LuT_Deelnemers[Type Organisatie],"",0,1)</f>
        <v/>
      </c>
      <c r="D23" s="262" cm="1">
        <f t="array" aca="1" ref="D23" ca="1">INDIRECT("'"&amp;$A23&amp;"'!Kosten_FO")</f>
        <v>0</v>
      </c>
      <c r="E23" s="263" cm="1">
        <f t="array" aca="1" ref="E23" ca="1">INDIRECT("'"&amp;$A23&amp;"'!Kosten_IO")</f>
        <v>0</v>
      </c>
      <c r="F23" s="264" cm="1">
        <f t="array" aca="1" ref="F23" ca="1">INDIRECT("'"&amp;$A23&amp;"'!Kosten_EO")</f>
        <v>0</v>
      </c>
      <c r="G23" s="265" cm="1">
        <f t="array" aca="1" ref="G23" ca="1">INDIRECT("'"&amp;$A23&amp;"'!Kosten_Totaal")</f>
        <v>0</v>
      </c>
      <c r="H23" s="266" cm="1">
        <f t="array" aca="1" ref="H23" ca="1">INDIRECT("'"&amp;$A23&amp;"'!Max_Subsidie_FO")</f>
        <v>0</v>
      </c>
      <c r="I23" s="267" cm="1">
        <f t="array" aca="1" ref="I23" ca="1">INDIRECT("'"&amp;$A23&amp;"'!Max_Subsidie_IO")</f>
        <v>0</v>
      </c>
      <c r="J23" s="268" cm="1">
        <f t="array" aca="1" ref="J23" ca="1">INDIRECT("'"&amp;$A23&amp;"'!Max_Subsidie_EO")</f>
        <v>0</v>
      </c>
      <c r="K23" s="269" cm="1">
        <f t="array" aca="1" ref="K23" ca="1">INDIRECT("'"&amp;$A23&amp;"'!Max_Subsidie_Totaal")</f>
        <v>0</v>
      </c>
      <c r="L23" s="270"/>
      <c r="M23" s="271"/>
      <c r="N23" s="272"/>
      <c r="O23" s="273"/>
      <c r="P23" s="362"/>
      <c r="Q23" s="271"/>
      <c r="R23" s="273"/>
      <c r="S23" s="274">
        <f t="shared" si="6"/>
        <v>0</v>
      </c>
      <c r="T23" s="274">
        <f t="shared" si="7"/>
        <v>0</v>
      </c>
      <c r="U23" s="365" t="str">
        <f t="shared" si="5"/>
        <v/>
      </c>
      <c r="V23" s="370" t="str">
        <f t="shared" si="0"/>
        <v/>
      </c>
      <c r="W23" s="371" t="str">
        <f t="shared" si="1"/>
        <v/>
      </c>
      <c r="X23" s="293" t="str">
        <f t="shared" si="2"/>
        <v/>
      </c>
    </row>
    <row r="24" spans="1:24" ht="15" customHeight="1" x14ac:dyDescent="0.2">
      <c r="A24" s="259" t="s">
        <v>195</v>
      </c>
      <c r="B24" s="260" t="str">
        <f>_xlfn.XLOOKUP($A24,Table_LuT_Deelnemers[ID Deelnemer],Table_LuT_Deelnemers[Naam Organisatie],"",0,1)</f>
        <v/>
      </c>
      <c r="C24" s="261" t="str">
        <f>_xlfn.XLOOKUP($A24,Table_LuT_Deelnemers[ID Deelnemer],Table_LuT_Deelnemers[Type Organisatie],"",0,1)</f>
        <v/>
      </c>
      <c r="D24" s="262" cm="1">
        <f t="array" aca="1" ref="D24" ca="1">INDIRECT("'"&amp;$A24&amp;"'!Kosten_FO")</f>
        <v>0</v>
      </c>
      <c r="E24" s="263" cm="1">
        <f t="array" aca="1" ref="E24" ca="1">INDIRECT("'"&amp;$A24&amp;"'!Kosten_IO")</f>
        <v>0</v>
      </c>
      <c r="F24" s="264" cm="1">
        <f t="array" aca="1" ref="F24" ca="1">INDIRECT("'"&amp;$A24&amp;"'!Kosten_EO")</f>
        <v>0</v>
      </c>
      <c r="G24" s="265" cm="1">
        <f t="array" aca="1" ref="G24" ca="1">INDIRECT("'"&amp;$A24&amp;"'!Kosten_Totaal")</f>
        <v>0</v>
      </c>
      <c r="H24" s="266" cm="1">
        <f t="array" aca="1" ref="H24" ca="1">INDIRECT("'"&amp;$A24&amp;"'!Max_Subsidie_FO")</f>
        <v>0</v>
      </c>
      <c r="I24" s="267" cm="1">
        <f t="array" aca="1" ref="I24" ca="1">INDIRECT("'"&amp;$A24&amp;"'!Max_Subsidie_IO")</f>
        <v>0</v>
      </c>
      <c r="J24" s="268" cm="1">
        <f t="array" aca="1" ref="J24" ca="1">INDIRECT("'"&amp;$A24&amp;"'!Max_Subsidie_EO")</f>
        <v>0</v>
      </c>
      <c r="K24" s="269" cm="1">
        <f t="array" aca="1" ref="K24" ca="1">INDIRECT("'"&amp;$A24&amp;"'!Max_Subsidie_Totaal")</f>
        <v>0</v>
      </c>
      <c r="L24" s="270"/>
      <c r="M24" s="271"/>
      <c r="N24" s="272"/>
      <c r="O24" s="273"/>
      <c r="P24" s="362"/>
      <c r="Q24" s="271"/>
      <c r="R24" s="273"/>
      <c r="S24" s="274">
        <f t="shared" si="6"/>
        <v>0</v>
      </c>
      <c r="T24" s="274">
        <f t="shared" si="7"/>
        <v>0</v>
      </c>
      <c r="U24" s="365" t="str">
        <f t="shared" si="5"/>
        <v/>
      </c>
      <c r="V24" s="370" t="str">
        <f t="shared" si="0"/>
        <v/>
      </c>
      <c r="W24" s="371" t="str">
        <f t="shared" si="1"/>
        <v/>
      </c>
      <c r="X24" s="293" t="str">
        <f t="shared" si="2"/>
        <v/>
      </c>
    </row>
    <row r="25" spans="1:24" ht="15" customHeight="1" x14ac:dyDescent="0.2">
      <c r="A25" s="259" t="s">
        <v>196</v>
      </c>
      <c r="B25" s="260" t="str">
        <f>_xlfn.XLOOKUP($A25,Table_LuT_Deelnemers[ID Deelnemer],Table_LuT_Deelnemers[Naam Organisatie],"",0,1)</f>
        <v/>
      </c>
      <c r="C25" s="261" t="str">
        <f>_xlfn.XLOOKUP($A25,Table_LuT_Deelnemers[ID Deelnemer],Table_LuT_Deelnemers[Type Organisatie],"",0,1)</f>
        <v/>
      </c>
      <c r="D25" s="262" cm="1">
        <f t="array" aca="1" ref="D25" ca="1">INDIRECT("'"&amp;$A25&amp;"'!Kosten_FO")</f>
        <v>0</v>
      </c>
      <c r="E25" s="263" cm="1">
        <f t="array" aca="1" ref="E25" ca="1">INDIRECT("'"&amp;$A25&amp;"'!Kosten_IO")</f>
        <v>0</v>
      </c>
      <c r="F25" s="264" cm="1">
        <f t="array" aca="1" ref="F25" ca="1">INDIRECT("'"&amp;$A25&amp;"'!Kosten_EO")</f>
        <v>0</v>
      </c>
      <c r="G25" s="265" cm="1">
        <f t="array" aca="1" ref="G25" ca="1">INDIRECT("'"&amp;$A25&amp;"'!Kosten_Totaal")</f>
        <v>0</v>
      </c>
      <c r="H25" s="266" cm="1">
        <f t="array" aca="1" ref="H25" ca="1">INDIRECT("'"&amp;$A25&amp;"'!Max_Subsidie_FO")</f>
        <v>0</v>
      </c>
      <c r="I25" s="267" cm="1">
        <f t="array" aca="1" ref="I25" ca="1">INDIRECT("'"&amp;$A25&amp;"'!Max_Subsidie_IO")</f>
        <v>0</v>
      </c>
      <c r="J25" s="268" cm="1">
        <f t="array" aca="1" ref="J25" ca="1">INDIRECT("'"&amp;$A25&amp;"'!Max_Subsidie_EO")</f>
        <v>0</v>
      </c>
      <c r="K25" s="269" cm="1">
        <f t="array" aca="1" ref="K25" ca="1">INDIRECT("'"&amp;$A25&amp;"'!Max_Subsidie_Totaal")</f>
        <v>0</v>
      </c>
      <c r="L25" s="270"/>
      <c r="M25" s="271"/>
      <c r="N25" s="272"/>
      <c r="O25" s="273"/>
      <c r="P25" s="362"/>
      <c r="Q25" s="271"/>
      <c r="R25" s="273"/>
      <c r="S25" s="274">
        <f t="shared" si="6"/>
        <v>0</v>
      </c>
      <c r="T25" s="274">
        <f t="shared" si="7"/>
        <v>0</v>
      </c>
      <c r="U25" s="365" t="str">
        <f t="shared" si="5"/>
        <v/>
      </c>
      <c r="V25" s="370" t="str">
        <f t="shared" si="0"/>
        <v/>
      </c>
      <c r="W25" s="371" t="str">
        <f t="shared" si="1"/>
        <v/>
      </c>
      <c r="X25" s="293" t="str">
        <f t="shared" si="2"/>
        <v/>
      </c>
    </row>
    <row r="26" spans="1:24" ht="15" customHeight="1" x14ac:dyDescent="0.2">
      <c r="A26" s="259" t="s">
        <v>197</v>
      </c>
      <c r="B26" s="260" t="str">
        <f>_xlfn.XLOOKUP($A26,Table_LuT_Deelnemers[ID Deelnemer],Table_LuT_Deelnemers[Naam Organisatie],"",0,1)</f>
        <v/>
      </c>
      <c r="C26" s="261" t="str">
        <f>_xlfn.XLOOKUP($A26,Table_LuT_Deelnemers[ID Deelnemer],Table_LuT_Deelnemers[Type Organisatie],"",0,1)</f>
        <v/>
      </c>
      <c r="D26" s="262" cm="1">
        <f t="array" aca="1" ref="D26" ca="1">INDIRECT("'"&amp;$A26&amp;"'!Kosten_FO")</f>
        <v>0</v>
      </c>
      <c r="E26" s="263" cm="1">
        <f t="array" aca="1" ref="E26" ca="1">INDIRECT("'"&amp;$A26&amp;"'!Kosten_IO")</f>
        <v>0</v>
      </c>
      <c r="F26" s="264" cm="1">
        <f t="array" aca="1" ref="F26" ca="1">INDIRECT("'"&amp;$A26&amp;"'!Kosten_EO")</f>
        <v>0</v>
      </c>
      <c r="G26" s="265" cm="1">
        <f t="array" aca="1" ref="G26" ca="1">INDIRECT("'"&amp;$A26&amp;"'!Kosten_Totaal")</f>
        <v>0</v>
      </c>
      <c r="H26" s="266" cm="1">
        <f t="array" aca="1" ref="H26" ca="1">INDIRECT("'"&amp;$A26&amp;"'!Max_Subsidie_FO")</f>
        <v>0</v>
      </c>
      <c r="I26" s="267" cm="1">
        <f t="array" aca="1" ref="I26" ca="1">INDIRECT("'"&amp;$A26&amp;"'!Max_Subsidie_IO")</f>
        <v>0</v>
      </c>
      <c r="J26" s="268" cm="1">
        <f t="array" aca="1" ref="J26" ca="1">INDIRECT("'"&amp;$A26&amp;"'!Max_Subsidie_EO")</f>
        <v>0</v>
      </c>
      <c r="K26" s="269" cm="1">
        <f t="array" aca="1" ref="K26" ca="1">INDIRECT("'"&amp;$A26&amp;"'!Max_Subsidie_Totaal")</f>
        <v>0</v>
      </c>
      <c r="L26" s="270"/>
      <c r="M26" s="271"/>
      <c r="N26" s="272"/>
      <c r="O26" s="273"/>
      <c r="P26" s="362"/>
      <c r="Q26" s="271"/>
      <c r="R26" s="273"/>
      <c r="S26" s="274">
        <f t="shared" si="6"/>
        <v>0</v>
      </c>
      <c r="T26" s="274">
        <f t="shared" si="7"/>
        <v>0</v>
      </c>
      <c r="U26" s="365" t="str">
        <f t="shared" si="5"/>
        <v/>
      </c>
      <c r="V26" s="370" t="str">
        <f t="shared" si="0"/>
        <v/>
      </c>
      <c r="W26" s="371" t="str">
        <f t="shared" si="1"/>
        <v/>
      </c>
      <c r="X26" s="293" t="str">
        <f t="shared" si="2"/>
        <v/>
      </c>
    </row>
    <row r="27" spans="1:24" ht="15" customHeight="1" thickBot="1" x14ac:dyDescent="0.25">
      <c r="A27" s="259" t="s">
        <v>198</v>
      </c>
      <c r="B27" s="131" t="str">
        <f>_xlfn.XLOOKUP($A27,Table_LuT_Deelnemers[ID Deelnemer],Table_LuT_Deelnemers[Naam Organisatie],"",0,1)</f>
        <v/>
      </c>
      <c r="C27" s="132" t="str">
        <f>_xlfn.XLOOKUP($A27,Table_LuT_Deelnemers[ID Deelnemer],Table_LuT_Deelnemers[Type Organisatie],"",0,1)</f>
        <v/>
      </c>
      <c r="D27" s="133" cm="1">
        <f t="array" aca="1" ref="D27" ca="1">INDIRECT("'"&amp;$A27&amp;"'!Kosten_FO")</f>
        <v>0</v>
      </c>
      <c r="E27" s="134" cm="1">
        <f t="array" aca="1" ref="E27" ca="1">INDIRECT("'"&amp;$A27&amp;"'!Kosten_IO")</f>
        <v>0</v>
      </c>
      <c r="F27" s="135" cm="1">
        <f t="array" aca="1" ref="F27" ca="1">INDIRECT("'"&amp;$A27&amp;"'!Kosten_EO")</f>
        <v>0</v>
      </c>
      <c r="G27" s="136" cm="1">
        <f t="array" aca="1" ref="G27" ca="1">INDIRECT("'"&amp;$A27&amp;"'!Kosten_Totaal")</f>
        <v>0</v>
      </c>
      <c r="H27" s="137" cm="1">
        <f t="array" aca="1" ref="H27" ca="1">INDIRECT("'"&amp;$A27&amp;"'!Max_Subsidie_FO")</f>
        <v>0</v>
      </c>
      <c r="I27" s="138" cm="1">
        <f t="array" aca="1" ref="I27" ca="1">INDIRECT("'"&amp;$A27&amp;"'!Max_Subsidie_IO")</f>
        <v>0</v>
      </c>
      <c r="J27" s="139" cm="1">
        <f t="array" aca="1" ref="J27" ca="1">INDIRECT("'"&amp;$A27&amp;"'!Max_Subsidie_EO")</f>
        <v>0</v>
      </c>
      <c r="K27" s="140" cm="1">
        <f t="array" aca="1" ref="K27" ca="1">INDIRECT("'"&amp;$A27&amp;"'!Max_Subsidie_Totaal")</f>
        <v>0</v>
      </c>
      <c r="L27" s="141"/>
      <c r="M27" s="142"/>
      <c r="N27" s="143"/>
      <c r="O27" s="144"/>
      <c r="P27" s="363"/>
      <c r="Q27" s="142"/>
      <c r="R27" s="144"/>
      <c r="S27" s="145">
        <f t="shared" si="3"/>
        <v>0</v>
      </c>
      <c r="T27" s="145">
        <f t="shared" si="4"/>
        <v>0</v>
      </c>
      <c r="U27" s="372" t="str">
        <f t="shared" si="5"/>
        <v/>
      </c>
      <c r="V27" s="372" t="str">
        <f t="shared" si="0"/>
        <v/>
      </c>
      <c r="W27" s="373" t="str">
        <f t="shared" si="1"/>
        <v/>
      </c>
      <c r="X27" s="294" t="str">
        <f t="shared" si="2"/>
        <v/>
      </c>
    </row>
    <row r="28" spans="1:24" ht="15" customHeight="1" thickBot="1" x14ac:dyDescent="0.25">
      <c r="A28" s="146" t="s">
        <v>41</v>
      </c>
      <c r="B28" s="147"/>
      <c r="C28" s="148"/>
      <c r="D28" s="149">
        <f ca="1">SUBTOTAL(9,D8:D27)</f>
        <v>0</v>
      </c>
      <c r="E28" s="150">
        <f t="shared" ref="E28:R28" ca="1" si="8">SUBTOTAL(9,E8:E27)</f>
        <v>0</v>
      </c>
      <c r="F28" s="151">
        <f t="shared" ca="1" si="8"/>
        <v>0</v>
      </c>
      <c r="G28" s="152">
        <f t="shared" ca="1" si="8"/>
        <v>0</v>
      </c>
      <c r="H28" s="153">
        <f t="shared" ca="1" si="8"/>
        <v>0</v>
      </c>
      <c r="I28" s="154">
        <f t="shared" ca="1" si="8"/>
        <v>0</v>
      </c>
      <c r="J28" s="155">
        <f t="shared" ca="1" si="8"/>
        <v>0</v>
      </c>
      <c r="K28" s="155">
        <f ca="1">SUBTOTAL(9,K8:K27)</f>
        <v>0</v>
      </c>
      <c r="L28" s="156">
        <f t="shared" si="8"/>
        <v>0</v>
      </c>
      <c r="M28" s="150">
        <f t="shared" si="8"/>
        <v>0</v>
      </c>
      <c r="N28" s="157">
        <f>SUBTOTAL(9,N8:N27)</f>
        <v>0</v>
      </c>
      <c r="O28" s="158">
        <f t="shared" si="8"/>
        <v>0</v>
      </c>
      <c r="P28" s="364">
        <f t="shared" si="8"/>
        <v>0</v>
      </c>
      <c r="Q28" s="150">
        <f t="shared" si="8"/>
        <v>0</v>
      </c>
      <c r="R28" s="158">
        <f t="shared" si="8"/>
        <v>0</v>
      </c>
      <c r="S28" s="159">
        <f>SUBTOTAL(9,P8:S27)</f>
        <v>0</v>
      </c>
      <c r="T28" s="160">
        <f>SUBTOTAL(9,M8:O27)+SUBTOTAL(9,P8:R27)</f>
        <v>0</v>
      </c>
    </row>
    <row r="29" spans="1:24" ht="38.25" customHeight="1" x14ac:dyDescent="0.2">
      <c r="L29" s="161"/>
      <c r="M29" s="162"/>
      <c r="N29" s="161"/>
      <c r="O29" s="161"/>
      <c r="P29" s="440" t="s">
        <v>464</v>
      </c>
      <c r="Q29" s="440"/>
      <c r="R29" s="440"/>
      <c r="S29" s="440"/>
      <c r="T29" s="440"/>
    </row>
    <row r="30" spans="1:24" ht="13.5" thickBot="1" x14ac:dyDescent="0.25">
      <c r="M30" s="162"/>
      <c r="N30" s="162"/>
      <c r="O30" s="162"/>
      <c r="P30" s="251"/>
      <c r="Q30" s="251"/>
      <c r="R30" s="251"/>
      <c r="S30" s="251"/>
      <c r="T30" s="251"/>
    </row>
    <row r="31" spans="1:24" ht="45" customHeight="1" thickBot="1" x14ac:dyDescent="0.25">
      <c r="A31" s="306" t="b" cm="1">
        <f t="array" aca="1" ref="A31" ca="1">Result_Check_999</f>
        <v>0</v>
      </c>
      <c r="B31" s="425" t="str">
        <f ca="1">IF(Result_Check_999,"Alle checks zijn in orde.","Check alle foutmeldingen en los ze op! Een begroting met foutmeldingen kan niet worden geüpload bij de subsidieaanvraag!")</f>
        <v>Check alle foutmeldingen en los ze op! Een begroting met foutmeldingen kan niet worden geüpload bij de subsidieaanvraag!</v>
      </c>
      <c r="C31" s="425"/>
      <c r="D31" s="425"/>
      <c r="E31" s="425"/>
      <c r="F31" s="425"/>
      <c r="G31" s="425"/>
      <c r="H31" s="425"/>
      <c r="I31" s="425"/>
      <c r="J31" s="425"/>
      <c r="K31" s="425"/>
      <c r="L31" s="425"/>
      <c r="M31" s="307"/>
      <c r="N31" s="307"/>
      <c r="O31" s="308"/>
      <c r="P31" s="309" t="str">
        <f ca="1">IF(C39,"","FOUT")</f>
        <v/>
      </c>
      <c r="Q31" s="309" t="str">
        <f ca="1">IF(C40,"","FOUT")</f>
        <v/>
      </c>
      <c r="R31" s="309" t="str">
        <f ca="1">IF(C41,"","FOUT")</f>
        <v/>
      </c>
      <c r="S31" s="309" t="str">
        <f ca="1">IF(C42*C43*C50,"","FOUT")</f>
        <v/>
      </c>
      <c r="T31" s="309" t="str">
        <f ca="1">IF(AND(C45:C49,C51:C56),"","FOUT")</f>
        <v>FOUT</v>
      </c>
      <c r="U31" s="310"/>
      <c r="V31" s="310"/>
      <c r="W31" s="310"/>
      <c r="X31" s="310"/>
    </row>
    <row r="32" spans="1:24" ht="12.75" x14ac:dyDescent="0.2"/>
    <row r="33" spans="1:15" thickBot="1" x14ac:dyDescent="0.25">
      <c r="A33" s="305"/>
      <c r="B33" s="305"/>
      <c r="C33" s="305"/>
      <c r="D33" s="305"/>
      <c r="E33" s="305"/>
      <c r="F33" s="305"/>
      <c r="G33" s="305"/>
      <c r="H33" s="305"/>
      <c r="I33" s="305"/>
      <c r="J33" s="305"/>
      <c r="K33" s="305"/>
      <c r="L33" s="305"/>
      <c r="M33" s="305"/>
      <c r="N33" s="305"/>
      <c r="O33" s="305"/>
    </row>
    <row r="34" spans="1:15" ht="30" customHeight="1" thickBot="1" x14ac:dyDescent="0.25">
      <c r="A34" s="317" t="s">
        <v>149</v>
      </c>
      <c r="B34" s="318" t="s">
        <v>307</v>
      </c>
      <c r="C34" s="318" t="s">
        <v>388</v>
      </c>
      <c r="D34" s="321" t="s">
        <v>111</v>
      </c>
      <c r="E34" s="318" t="s">
        <v>308</v>
      </c>
      <c r="F34" s="318" t="s">
        <v>309</v>
      </c>
      <c r="G34" s="318" t="s">
        <v>310</v>
      </c>
      <c r="H34" s="318" t="s">
        <v>311</v>
      </c>
      <c r="I34" s="318" t="s">
        <v>312</v>
      </c>
      <c r="J34" s="318" t="s">
        <v>313</v>
      </c>
      <c r="K34" s="318" t="s">
        <v>314</v>
      </c>
      <c r="L34" s="318" t="s">
        <v>315</v>
      </c>
      <c r="M34" s="318" t="s">
        <v>316</v>
      </c>
      <c r="N34" s="318" t="s">
        <v>317</v>
      </c>
      <c r="O34" s="318" t="s">
        <v>387</v>
      </c>
    </row>
    <row r="35" spans="1:15" ht="30" customHeight="1" x14ac:dyDescent="0.2">
      <c r="A35" s="304" t="s">
        <v>337</v>
      </c>
      <c r="B35" s="304"/>
      <c r="C35" s="276" t="b" cm="1">
        <f t="array" aca="1" ref="C35" ca="1">INDIRECT("Result_Check_"&amp;RIGHT(Table_Checks_Begroting_Kosten_Financiering[[#This Row],[Error Number]],3))</f>
        <v>1</v>
      </c>
      <c r="D35" s="323" t="str" cm="1">
        <f t="array" aca="1" ref="D35"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35" s="322"/>
      <c r="F35" s="322"/>
      <c r="G35" s="322"/>
      <c r="H35" s="322"/>
      <c r="I35" s="322"/>
      <c r="J35" s="322"/>
      <c r="K35" s="322"/>
      <c r="L35" s="322"/>
      <c r="M35" s="322"/>
      <c r="N35" s="322"/>
      <c r="O35" s="351" t="s">
        <v>368</v>
      </c>
    </row>
    <row r="36" spans="1:15" ht="30" customHeight="1" x14ac:dyDescent="0.2">
      <c r="A36" s="253" t="s">
        <v>338</v>
      </c>
      <c r="B36" s="253"/>
      <c r="C36" s="275" t="b" cm="1">
        <f t="array" aca="1" ref="C36" ca="1">INDIRECT("Result_Check_"&amp;RIGHT(Table_Checks_Begroting_Kosten_Financiering[[#This Row],[Error Number]],3))</f>
        <v>1</v>
      </c>
      <c r="D36" s="323" t="str" cm="1">
        <f t="array" aca="1" ref="D36"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36" s="324"/>
      <c r="F36" s="324"/>
      <c r="G36" s="324"/>
      <c r="H36" s="324"/>
      <c r="I36" s="324"/>
      <c r="J36" s="324"/>
      <c r="K36" s="324"/>
      <c r="L36" s="324"/>
      <c r="M36" s="324"/>
      <c r="N36" s="324"/>
      <c r="O36" s="352" t="s">
        <v>369</v>
      </c>
    </row>
    <row r="37" spans="1:15" ht="30" customHeight="1" x14ac:dyDescent="0.2">
      <c r="A37" s="253" t="s">
        <v>353</v>
      </c>
      <c r="B37" s="253"/>
      <c r="C37" s="275" t="b" cm="1">
        <f t="array" aca="1" ref="C37" ca="1">INDIRECT("Result_Check_"&amp;RIGHT(Table_Checks_Begroting_Kosten_Financiering[[#This Row],[Error Number]],3))</f>
        <v>1</v>
      </c>
      <c r="D37" s="323" t="str" cm="1">
        <f t="array" aca="1" ref="D37"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37" s="324"/>
      <c r="F37" s="324"/>
      <c r="G37" s="324"/>
      <c r="H37" s="324"/>
      <c r="I37" s="324"/>
      <c r="J37" s="324"/>
      <c r="K37" s="324"/>
      <c r="L37" s="324"/>
      <c r="M37" s="324"/>
      <c r="N37" s="324"/>
      <c r="O37" s="352" t="s">
        <v>370</v>
      </c>
    </row>
    <row r="38" spans="1:15" ht="30" customHeight="1" x14ac:dyDescent="0.2">
      <c r="A38" s="253" t="s">
        <v>352</v>
      </c>
      <c r="B38" s="253"/>
      <c r="C38" s="275" t="b" cm="1">
        <f t="array" aca="1" ref="C38" ca="1">INDIRECT("Result_Check_"&amp;RIGHT(Table_Checks_Begroting_Kosten_Financiering[[#This Row],[Error Number]],3))</f>
        <v>1</v>
      </c>
      <c r="D38" s="323" t="str" cm="1">
        <f t="array" aca="1" ref="D38"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38" s="324"/>
      <c r="F38" s="324"/>
      <c r="G38" s="324"/>
      <c r="H38" s="324"/>
      <c r="I38" s="324"/>
      <c r="J38" s="324"/>
      <c r="K38" s="324"/>
      <c r="L38" s="324"/>
      <c r="M38" s="324"/>
      <c r="N38" s="324"/>
      <c r="O38" s="352" t="s">
        <v>371</v>
      </c>
    </row>
    <row r="39" spans="1:15" ht="30" customHeight="1" x14ac:dyDescent="0.2">
      <c r="A39" s="253" t="s">
        <v>339</v>
      </c>
      <c r="B39" s="253"/>
      <c r="C39" s="275" t="b" cm="1">
        <f t="array" aca="1" ref="C39" ca="1">INDIRECT("Result_Check_"&amp;RIGHT(Table_Checks_Begroting_Kosten_Financiering[[#This Row],[Error Number]],3))</f>
        <v>1</v>
      </c>
      <c r="D39" s="323" t="str" cm="1">
        <f t="array" aca="1" ref="D39"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39" s="324"/>
      <c r="F39" s="324"/>
      <c r="G39" s="324"/>
      <c r="H39" s="324"/>
      <c r="I39" s="324"/>
      <c r="J39" s="324"/>
      <c r="K39" s="324"/>
      <c r="L39" s="324"/>
      <c r="M39" s="324"/>
      <c r="N39" s="324"/>
      <c r="O39" s="352" t="s">
        <v>372</v>
      </c>
    </row>
    <row r="40" spans="1:15" ht="30" customHeight="1" x14ac:dyDescent="0.2">
      <c r="A40" s="253" t="s">
        <v>340</v>
      </c>
      <c r="B40" s="253"/>
      <c r="C40" s="275" t="b" cm="1">
        <f t="array" aca="1" ref="C40" ca="1">INDIRECT("Result_Check_"&amp;RIGHT(Table_Checks_Begroting_Kosten_Financiering[[#This Row],[Error Number]],3))</f>
        <v>1</v>
      </c>
      <c r="D40" s="323" t="str" cm="1">
        <f t="array" aca="1" ref="D40"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40" s="324"/>
      <c r="F40" s="324"/>
      <c r="G40" s="324"/>
      <c r="H40" s="324"/>
      <c r="I40" s="324"/>
      <c r="J40" s="324"/>
      <c r="K40" s="324"/>
      <c r="L40" s="324"/>
      <c r="M40" s="324"/>
      <c r="N40" s="324"/>
      <c r="O40" s="352" t="s">
        <v>373</v>
      </c>
    </row>
    <row r="41" spans="1:15" ht="30" customHeight="1" x14ac:dyDescent="0.2">
      <c r="A41" s="253" t="s">
        <v>341</v>
      </c>
      <c r="B41" s="253"/>
      <c r="C41" s="275" t="b" cm="1">
        <f t="array" aca="1" ref="C41" ca="1">INDIRECT("Result_Check_"&amp;RIGHT(Table_Checks_Begroting_Kosten_Financiering[[#This Row],[Error Number]],3))</f>
        <v>1</v>
      </c>
      <c r="D41" s="323" t="str" cm="1">
        <f t="array" aca="1" ref="D41"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41" s="324"/>
      <c r="F41" s="324"/>
      <c r="G41" s="324"/>
      <c r="H41" s="324"/>
      <c r="I41" s="324"/>
      <c r="J41" s="324"/>
      <c r="K41" s="324"/>
      <c r="L41" s="324"/>
      <c r="M41" s="324"/>
      <c r="N41" s="324"/>
      <c r="O41" s="352" t="s">
        <v>374</v>
      </c>
    </row>
    <row r="42" spans="1:15" ht="30" customHeight="1" x14ac:dyDescent="0.2">
      <c r="A42" s="253" t="s">
        <v>342</v>
      </c>
      <c r="B42" s="253"/>
      <c r="C42" s="275" t="b" cm="1">
        <f t="array" aca="1" ref="C42" ca="1">INDIRECT("Result_Check_"&amp;RIGHT(Table_Checks_Begroting_Kosten_Financiering[[#This Row],[Error Number]],3))</f>
        <v>1</v>
      </c>
      <c r="D42" s="323" t="str" cm="1">
        <f t="array" aca="1" ref="D42"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42" s="324"/>
      <c r="F42" s="324"/>
      <c r="G42" s="324"/>
      <c r="H42" s="324"/>
      <c r="I42" s="324"/>
      <c r="J42" s="324"/>
      <c r="K42" s="324"/>
      <c r="L42" s="324"/>
      <c r="M42" s="324"/>
      <c r="N42" s="324"/>
      <c r="O42" s="352" t="s">
        <v>375</v>
      </c>
    </row>
    <row r="43" spans="1:15" ht="30" customHeight="1" x14ac:dyDescent="0.2">
      <c r="A43" s="253" t="s">
        <v>343</v>
      </c>
      <c r="B43" s="253"/>
      <c r="C43" s="275" t="b" cm="1">
        <f t="array" aca="1" ref="C43" ca="1">INDIRECT("Result_Check_"&amp;RIGHT(Table_Checks_Begroting_Kosten_Financiering[[#This Row],[Error Number]],3))</f>
        <v>1</v>
      </c>
      <c r="D43" s="323" t="str" cm="1">
        <f t="array" aca="1" ref="D43"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43" s="324"/>
      <c r="F43" s="324"/>
      <c r="G43" s="324"/>
      <c r="H43" s="324"/>
      <c r="I43" s="324"/>
      <c r="J43" s="324"/>
      <c r="K43" s="324"/>
      <c r="L43" s="324"/>
      <c r="M43" s="324"/>
      <c r="N43" s="324"/>
      <c r="O43" s="352" t="s">
        <v>376</v>
      </c>
    </row>
    <row r="44" spans="1:15" ht="30" customHeight="1" x14ac:dyDescent="0.2">
      <c r="A44" s="253" t="s">
        <v>462</v>
      </c>
      <c r="B44" s="253"/>
      <c r="C44" s="275" t="b" cm="1">
        <f t="array" aca="1" ref="C44" ca="1">INDIRECT("Result_Check_"&amp;RIGHT(Table_Checks_Begroting_Kosten_Financiering[[#This Row],[Error Number]],3))</f>
        <v>1</v>
      </c>
      <c r="D44" s="323" t="str" cm="1">
        <f t="array" aca="1" ref="D44"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44" s="324"/>
      <c r="F44" s="324"/>
      <c r="G44" s="324"/>
      <c r="H44" s="324"/>
      <c r="I44" s="324"/>
      <c r="J44" s="324"/>
      <c r="K44" s="324"/>
      <c r="L44" s="324"/>
      <c r="M44" s="324"/>
      <c r="N44" s="324"/>
      <c r="O44" s="352" t="s">
        <v>377</v>
      </c>
    </row>
    <row r="45" spans="1:15" ht="30" customHeight="1" x14ac:dyDescent="0.2">
      <c r="A45" s="253" t="s">
        <v>344</v>
      </c>
      <c r="B45" s="253"/>
      <c r="C45" s="275" t="b" cm="1">
        <f t="array" aca="1" ref="C45" ca="1">INDIRECT("Result_Check_"&amp;RIGHT(Table_Checks_Begroting_Kosten_Financiering[[#This Row],[Error Number]],3))</f>
        <v>1</v>
      </c>
      <c r="D45" s="323" t="str" cm="1">
        <f t="array" aca="1" ref="D45"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45" s="324"/>
      <c r="F45" s="324"/>
      <c r="G45" s="324"/>
      <c r="H45" s="324"/>
      <c r="I45" s="324"/>
      <c r="J45" s="324"/>
      <c r="K45" s="324"/>
      <c r="L45" s="324"/>
      <c r="M45" s="324"/>
      <c r="N45" s="324"/>
      <c r="O45" s="352" t="s">
        <v>378</v>
      </c>
    </row>
    <row r="46" spans="1:15" ht="30" customHeight="1" x14ac:dyDescent="0.2">
      <c r="A46" s="253" t="s">
        <v>345</v>
      </c>
      <c r="B46" s="253"/>
      <c r="C46" s="275" t="b" cm="1">
        <f t="array" aca="1" ref="C46" ca="1">INDIRECT("Result_Check_"&amp;RIGHT(Table_Checks_Begroting_Kosten_Financiering[[#This Row],[Error Number]],3))</f>
        <v>1</v>
      </c>
      <c r="D46" s="323" t="str" cm="1">
        <f t="array" aca="1" ref="D46"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46" s="324"/>
      <c r="F46" s="324"/>
      <c r="G46" s="324"/>
      <c r="H46" s="324"/>
      <c r="I46" s="324"/>
      <c r="J46" s="324"/>
      <c r="K46" s="324"/>
      <c r="L46" s="324"/>
      <c r="M46" s="324"/>
      <c r="N46" s="324"/>
      <c r="O46" s="352" t="s">
        <v>379</v>
      </c>
    </row>
    <row r="47" spans="1:15" ht="30" customHeight="1" x14ac:dyDescent="0.2">
      <c r="A47" s="253" t="s">
        <v>346</v>
      </c>
      <c r="B47" s="253"/>
      <c r="C47" s="275" t="b" cm="1">
        <f t="array" aca="1" ref="C47" ca="1">INDIRECT("Result_Check_"&amp;RIGHT(Table_Checks_Begroting_Kosten_Financiering[[#This Row],[Error Number]],3))</f>
        <v>1</v>
      </c>
      <c r="D47" s="323" t="str" cm="1">
        <f t="array" aca="1" ref="D47"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47" s="324"/>
      <c r="F47" s="324"/>
      <c r="G47" s="324"/>
      <c r="H47" s="324"/>
      <c r="I47" s="324"/>
      <c r="J47" s="324"/>
      <c r="K47" s="324"/>
      <c r="L47" s="324"/>
      <c r="M47" s="324"/>
      <c r="N47" s="324"/>
      <c r="O47" s="352" t="s">
        <v>380</v>
      </c>
    </row>
    <row r="48" spans="1:15" ht="30" customHeight="1" x14ac:dyDescent="0.2">
      <c r="A48" s="253" t="s">
        <v>440</v>
      </c>
      <c r="B48" s="253"/>
      <c r="C48" s="275" t="b" cm="1">
        <f t="array" aca="1" ref="C48" ca="1">INDIRECT("Result_Check_"&amp;RIGHT(Table_Checks_Begroting_Kosten_Financiering[[#This Row],[Error Number]],3))</f>
        <v>1</v>
      </c>
      <c r="D48" s="323" t="str" cm="1">
        <f t="array" aca="1" ref="D48"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48" s="324"/>
      <c r="F48" s="324"/>
      <c r="G48" s="324"/>
      <c r="H48" s="324"/>
      <c r="I48" s="324"/>
      <c r="J48" s="324"/>
      <c r="K48" s="324"/>
      <c r="L48" s="324"/>
      <c r="M48" s="324"/>
      <c r="N48" s="324"/>
      <c r="O48" s="352" t="s">
        <v>381</v>
      </c>
    </row>
    <row r="49" spans="1:15" ht="30" customHeight="1" x14ac:dyDescent="0.2">
      <c r="A49" s="253" t="s">
        <v>347</v>
      </c>
      <c r="B49" s="253"/>
      <c r="C49" s="275" t="b" cm="1">
        <f t="array" aca="1" ref="C49" ca="1">INDIRECT("Result_Check_"&amp;RIGHT(Table_Checks_Begroting_Kosten_Financiering[[#This Row],[Error Number]],3))</f>
        <v>1</v>
      </c>
      <c r="D49" s="323" t="str" cm="1">
        <f t="array" aca="1" ref="D49"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49" s="324"/>
      <c r="F49" s="324"/>
      <c r="G49" s="324"/>
      <c r="H49" s="324"/>
      <c r="I49" s="324"/>
      <c r="J49" s="324"/>
      <c r="K49" s="324"/>
      <c r="L49" s="324"/>
      <c r="M49" s="324"/>
      <c r="N49" s="324"/>
      <c r="O49" s="352" t="s">
        <v>382</v>
      </c>
    </row>
    <row r="50" spans="1:15" ht="30" customHeight="1" x14ac:dyDescent="0.2">
      <c r="A50" s="253" t="s">
        <v>348</v>
      </c>
      <c r="B50" s="253"/>
      <c r="C50" s="275" t="b" cm="1">
        <f t="array" aca="1" ref="C50" ca="1">INDIRECT("Result_Check_"&amp;RIGHT(Table_Checks_Begroting_Kosten_Financiering[[#This Row],[Error Number]],3))</f>
        <v>1</v>
      </c>
      <c r="D50" s="323" t="str" cm="1">
        <f t="array" aca="1" ref="D50"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50" s="324"/>
      <c r="F50" s="324"/>
      <c r="G50" s="324"/>
      <c r="H50" s="324"/>
      <c r="I50" s="324"/>
      <c r="J50" s="324"/>
      <c r="K50" s="324"/>
      <c r="L50" s="324"/>
      <c r="M50" s="324"/>
      <c r="N50" s="324"/>
      <c r="O50" s="352" t="s">
        <v>383</v>
      </c>
    </row>
    <row r="51" spans="1:15" ht="30" customHeight="1" x14ac:dyDescent="0.2">
      <c r="A51" s="253" t="s">
        <v>349</v>
      </c>
      <c r="B51" s="253"/>
      <c r="C51" s="275" t="b" cm="1">
        <f t="array" aca="1" ref="C51" ca="1">INDIRECT("Result_Check_"&amp;RIGHT(Table_Checks_Begroting_Kosten_Financiering[[#This Row],[Error Number]],3))</f>
        <v>1</v>
      </c>
      <c r="D51" s="323" t="str" cm="1">
        <f t="array" aca="1" ref="D51"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51" s="324"/>
      <c r="F51" s="324"/>
      <c r="G51" s="324"/>
      <c r="H51" s="324"/>
      <c r="I51" s="324"/>
      <c r="J51" s="324"/>
      <c r="K51" s="324"/>
      <c r="L51" s="324"/>
      <c r="M51" s="324"/>
      <c r="N51" s="324"/>
      <c r="O51" s="352" t="s">
        <v>384</v>
      </c>
    </row>
    <row r="52" spans="1:15" ht="30" customHeight="1" x14ac:dyDescent="0.2">
      <c r="A52" s="253" t="s">
        <v>401</v>
      </c>
      <c r="B52" s="253"/>
      <c r="C52" s="275" t="b" cm="1">
        <f t="array" aca="1" ref="C52" ca="1">INDIRECT("Result_Check_"&amp;RIGHT(Table_Checks_Begroting_Kosten_Financiering[[#This Row],[Error Number]],3))</f>
        <v>1</v>
      </c>
      <c r="D52" s="323" t="str" cm="1">
        <f t="array" aca="1" ref="D52"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52" s="324"/>
      <c r="F52" s="324"/>
      <c r="G52" s="324"/>
      <c r="H52" s="324"/>
      <c r="I52" s="324"/>
      <c r="J52" s="324"/>
      <c r="K52" s="324"/>
      <c r="L52" s="324"/>
      <c r="M52" s="324"/>
      <c r="N52" s="324"/>
      <c r="O52" s="352" t="s">
        <v>365</v>
      </c>
    </row>
    <row r="53" spans="1:15" ht="30" customHeight="1" x14ac:dyDescent="0.2">
      <c r="A53" s="253" t="s">
        <v>405</v>
      </c>
      <c r="B53" s="253"/>
      <c r="C53" s="275" t="b" cm="1">
        <f t="array" aca="1" ref="C53" ca="1">INDIRECT("Result_Check_"&amp;RIGHT(Table_Checks_Begroting_Kosten_Financiering[[#This Row],[Error Number]],3))</f>
        <v>1</v>
      </c>
      <c r="D53" s="323" t="str" cm="1">
        <f t="array" aca="1" ref="D53"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53" s="324"/>
      <c r="F53" s="324"/>
      <c r="G53" s="324"/>
      <c r="H53" s="324"/>
      <c r="I53" s="324"/>
      <c r="J53" s="324"/>
      <c r="K53" s="324"/>
      <c r="L53" s="324"/>
      <c r="M53" s="324"/>
      <c r="N53" s="324"/>
      <c r="O53" s="352" t="s">
        <v>403</v>
      </c>
    </row>
    <row r="54" spans="1:15" ht="30" customHeight="1" x14ac:dyDescent="0.2">
      <c r="A54" s="253" t="s">
        <v>350</v>
      </c>
      <c r="B54" s="253"/>
      <c r="C54" s="275" t="b" cm="1">
        <f t="array" aca="1" ref="C54" ca="1">INDIRECT("Result_Check_"&amp;RIGHT(Table_Checks_Begroting_Kosten_Financiering[[#This Row],[Error Number]],3))</f>
        <v>1</v>
      </c>
      <c r="D54" s="323" t="str" cm="1">
        <f t="array" aca="1" ref="D54"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
      </c>
      <c r="E54" s="324"/>
      <c r="F54" s="324"/>
      <c r="G54" s="324"/>
      <c r="H54" s="324"/>
      <c r="I54" s="324"/>
      <c r="J54" s="324"/>
      <c r="K54" s="324"/>
      <c r="L54" s="324"/>
      <c r="M54" s="324"/>
      <c r="N54" s="324"/>
      <c r="O54" s="352" t="s">
        <v>385</v>
      </c>
    </row>
    <row r="55" spans="1:15" ht="30" customHeight="1" x14ac:dyDescent="0.2">
      <c r="A55" s="253" t="s">
        <v>399</v>
      </c>
      <c r="B55" s="253"/>
      <c r="C55" s="275" t="b" cm="1">
        <f t="array" aca="1" ref="C55" ca="1">INDIRECT("Result_Check_"&amp;RIGHT(Table_Checks_Begroting_Kosten_Financiering[[#This Row],[Error Number]],3))</f>
        <v>0</v>
      </c>
      <c r="D55" s="323" t="str" cm="1">
        <f t="array" aca="1" ref="D55"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FOUT: Er is nog geen subsidie gevraagd.</v>
      </c>
      <c r="E55" s="324"/>
      <c r="F55" s="324"/>
      <c r="G55" s="324"/>
      <c r="H55" s="324"/>
      <c r="I55" s="324"/>
      <c r="J55" s="324"/>
      <c r="K55" s="324"/>
      <c r="L55" s="324"/>
      <c r="M55" s="324"/>
      <c r="N55" s="324"/>
      <c r="O55" s="352" t="s">
        <v>397</v>
      </c>
    </row>
    <row r="56" spans="1:15" ht="30" customHeight="1" x14ac:dyDescent="0.2">
      <c r="A56" s="319" t="s">
        <v>351</v>
      </c>
      <c r="B56" s="319"/>
      <c r="C56" s="320" t="b" cm="1">
        <f t="array" aca="1" ref="C56" ca="1">INDIRECT("Result_Check_"&amp;RIGHT(Table_Checks_Begroting_Kosten_Financiering[[#This Row],[Error Number]],3))</f>
        <v>0</v>
      </c>
      <c r="D56" s="323" t="str" cm="1">
        <f t="array" aca="1" ref="D56" ca="1">IFERROR(
IF(INDIRECT("Result_Check_"&amp;RIGHT(Table_Checks_Begroting_Kosten_Financiering[[#This Row],[Error Number]],3)),"",_xlfn.XLOOKUP(Table_Checks_Begroting_Kosten_Financiering[[#This Row],[Error Number]],Table_Foutmeldingen[Nr. Foutmelding],Table_Foutmeldingen[Foutmelding])),
_xlfn.XLOOKUP("E-999",Table_Foutmeldingen[Nr. Foutmelding],Table_Foutmeldingen[Foutmelding],"&lt;Not in LuT Foutmeldingen&gt;",0,1))</f>
        <v>FOUT: Er zijn fouten in de begroting en/of er zijn fouten of ontbreken gegevens in overige tabs!</v>
      </c>
      <c r="E56" s="325"/>
      <c r="F56" s="325"/>
      <c r="G56" s="325"/>
      <c r="H56" s="325"/>
      <c r="I56" s="325"/>
      <c r="J56" s="325"/>
      <c r="K56" s="325"/>
      <c r="L56" s="325"/>
      <c r="M56" s="325"/>
      <c r="N56" s="325"/>
      <c r="O56" s="353" t="s">
        <v>386</v>
      </c>
    </row>
    <row r="59" spans="1:15" ht="12.75" x14ac:dyDescent="0.2"/>
  </sheetData>
  <sheetProtection algorithmName="SHA-512" hashValue="HYl9yEZ126V7bMp0xiCzAREXbzmTHz+GSN2Y/6KDFceWWvP/aaTntDlVQhzHrf6nXKNtPhsF08GK1GDR0qBGFQ==" saltValue="5xVvA2660768ahJkahYKvw==" spinCount="100000" sheet="1" objects="1" scenarios="1" selectLockedCells="1"/>
  <mergeCells count="11">
    <mergeCell ref="B31:L31"/>
    <mergeCell ref="U6:X6"/>
    <mergeCell ref="P6:S6"/>
    <mergeCell ref="L6:O6"/>
    <mergeCell ref="H6:K6"/>
    <mergeCell ref="T6:T7"/>
    <mergeCell ref="D5:G6"/>
    <mergeCell ref="A5:C6"/>
    <mergeCell ref="H5:K5"/>
    <mergeCell ref="L5:X5"/>
    <mergeCell ref="P29:T29"/>
  </mergeCells>
  <phoneticPr fontId="40" type="noConversion"/>
  <conditionalFormatting sqref="B31:L31">
    <cfRule type="expression" dxfId="4" priority="1">
      <formula>Result_Check_999</formula>
    </cfRule>
  </conditionalFormatting>
  <printOptions gridLines="1"/>
  <pageMargins left="0.74803149606299213" right="0.74803149606299213" top="0.98425196850393704" bottom="0.98425196850393704" header="0.51181102362204722" footer="0.51181102362204722"/>
  <pageSetup paperSize="9" scale="16" orientation="portrait" horizontalDpi="4294967292" verticalDpi="300" r:id="rId1"/>
  <headerFooter alignWithMargins="0">
    <oddFooter>&amp;L&amp;8Erna Olislaegers
&amp;D at &amp;T&amp;C&amp;8&amp;P/&amp;N&amp;R&amp;8File: &amp;F
Sheet: &amp;A</oddFooter>
  </headerFooter>
  <ignoredErrors>
    <ignoredError sqref="B3 N28" unlockedFormula="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BCBBF-00B5-4CF9-9496-0214E92C4220}">
  <sheetPr codeName="Sheet7">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ht="30" customHeight="1" x14ac:dyDescent="0.4">
      <c r="A1" s="21" t="str" cm="1">
        <f t="array" aca="1" ref="A1" ca="1">"Begroting – " &amp; MID(CELL("filename",$A$1),FIND("]",CELL("filename",$A$1))+1,255)&amp;IF(B5="","",": "&amp;B5)</f>
        <v>Begroting – Deelnemer 1 - Penvoerder</v>
      </c>
    </row>
    <row r="2" spans="1:10" ht="15" customHeight="1" x14ac:dyDescent="0.2">
      <c r="A2" s="23"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1 - Penvoerder</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32"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c r="J9" s="375"/>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8"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eNi9Vh3Rs83u8tnWzSUHww8091zjU0a1Szm83K/O/9deng/+OPoGVh8DDlxYLdtAN/SQCH994RYMEeNGFL+dHA==" saltValue="eVP4yfVw0JpamBXSdlJd5w==" spinCount="100000" sheet="1" objects="1" scenarios="1" selectLockedCells="1"/>
  <mergeCells count="63">
    <mergeCell ref="D73:E73"/>
    <mergeCell ref="F73:G73"/>
    <mergeCell ref="A73:C73"/>
    <mergeCell ref="H73:I73"/>
    <mergeCell ref="A47:C47"/>
    <mergeCell ref="A69:C69"/>
    <mergeCell ref="D58:E58"/>
    <mergeCell ref="F58:G58"/>
    <mergeCell ref="H58:I58"/>
    <mergeCell ref="A29:B29"/>
    <mergeCell ref="A30:B30"/>
    <mergeCell ref="A31:B31"/>
    <mergeCell ref="A32:B32"/>
    <mergeCell ref="A33:B33"/>
    <mergeCell ref="A35:B35"/>
    <mergeCell ref="A36:B36"/>
    <mergeCell ref="A37:B37"/>
    <mergeCell ref="A68:C68"/>
    <mergeCell ref="A54:C54"/>
    <mergeCell ref="A39:B39"/>
    <mergeCell ref="A45:C45"/>
    <mergeCell ref="A46:C46"/>
    <mergeCell ref="A44:C44"/>
    <mergeCell ref="D43:E43"/>
    <mergeCell ref="F43:G43"/>
    <mergeCell ref="D11:E11"/>
    <mergeCell ref="F11:G11"/>
    <mergeCell ref="H11:I11"/>
    <mergeCell ref="D28:E28"/>
    <mergeCell ref="F28:G28"/>
    <mergeCell ref="H28:I28"/>
    <mergeCell ref="H43:I43"/>
    <mergeCell ref="B9:C9"/>
    <mergeCell ref="A58:C58"/>
    <mergeCell ref="A43:C43"/>
    <mergeCell ref="A28:C28"/>
    <mergeCell ref="A11:C11"/>
    <mergeCell ref="A23:C23"/>
    <mergeCell ref="A24:C24"/>
    <mergeCell ref="A25:C25"/>
    <mergeCell ref="A48:C48"/>
    <mergeCell ref="A49:C49"/>
    <mergeCell ref="A50:C50"/>
    <mergeCell ref="A51:C51"/>
    <mergeCell ref="A52:C52"/>
    <mergeCell ref="A53:C53"/>
    <mergeCell ref="A38:B38"/>
    <mergeCell ref="A34:B34"/>
    <mergeCell ref="A74:C74"/>
    <mergeCell ref="A75:C75"/>
    <mergeCell ref="A76:C76"/>
    <mergeCell ref="A40:C40"/>
    <mergeCell ref="A55:C55"/>
    <mergeCell ref="A70:C70"/>
    <mergeCell ref="A59:C59"/>
    <mergeCell ref="A60:C60"/>
    <mergeCell ref="A61:C61"/>
    <mergeCell ref="A62:C62"/>
    <mergeCell ref="A63:C63"/>
    <mergeCell ref="A64:C64"/>
    <mergeCell ref="A65:C65"/>
    <mergeCell ref="A66:C66"/>
    <mergeCell ref="A67:C67"/>
  </mergeCells>
  <dataValidations count="1">
    <dataValidation type="list" allowBlank="1" showInputMessage="1" showErrorMessage="1" sqref="B9" xr:uid="{31948B24-FD6D-4736-A93F-AE73390709A5}">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F9AB6-35E5-48C6-8EB0-52DCB20B24CD}">
  <sheetPr codeName="Sheet3">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2</v>
      </c>
    </row>
    <row r="2" spans="1:10" ht="15" customHeight="1" x14ac:dyDescent="0.2">
      <c r="A2" s="23"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2</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32"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 t="shared" ref="E13:E22" si="0">D13*$C13</f>
        <v>0</v>
      </c>
      <c r="F13" s="52"/>
      <c r="G13" s="53">
        <f>F13*$C13</f>
        <v>0</v>
      </c>
      <c r="H13" s="52"/>
      <c r="I13" s="53">
        <f>H13*$C13</f>
        <v>0</v>
      </c>
      <c r="J13" s="376" t="b">
        <f t="shared" ref="J13:J22" si="1">OR(Kostensystematiek&lt;&gt;Vaste_uurtarief,0=$C13,$C13=60)</f>
        <v>1</v>
      </c>
    </row>
    <row r="14" spans="1:10" ht="15" customHeight="1" x14ac:dyDescent="0.2">
      <c r="A14" s="49"/>
      <c r="B14" s="50"/>
      <c r="C14" s="51"/>
      <c r="D14" s="52"/>
      <c r="E14" s="53">
        <f t="shared" si="0"/>
        <v>0</v>
      </c>
      <c r="F14" s="52"/>
      <c r="G14" s="53">
        <f t="shared" ref="G14:G22" si="2">F14*$C14</f>
        <v>0</v>
      </c>
      <c r="H14" s="52"/>
      <c r="I14" s="53">
        <f t="shared" ref="I14:I22" si="3">H14*$C14</f>
        <v>0</v>
      </c>
      <c r="J14" s="376" t="b">
        <f t="shared" si="1"/>
        <v>1</v>
      </c>
    </row>
    <row r="15" spans="1:10" ht="15" customHeight="1" x14ac:dyDescent="0.2">
      <c r="A15" s="49"/>
      <c r="B15" s="50"/>
      <c r="C15" s="51"/>
      <c r="D15" s="52"/>
      <c r="E15" s="53">
        <f t="shared" si="0"/>
        <v>0</v>
      </c>
      <c r="F15" s="52"/>
      <c r="G15" s="53">
        <f t="shared" si="2"/>
        <v>0</v>
      </c>
      <c r="H15" s="52"/>
      <c r="I15" s="53">
        <f t="shared" si="3"/>
        <v>0</v>
      </c>
      <c r="J15" s="376" t="b">
        <f t="shared" si="1"/>
        <v>1</v>
      </c>
    </row>
    <row r="16" spans="1:10" ht="15" customHeight="1" x14ac:dyDescent="0.2">
      <c r="A16" s="49"/>
      <c r="B16" s="50"/>
      <c r="C16" s="51"/>
      <c r="D16" s="52"/>
      <c r="E16" s="53">
        <f t="shared" si="0"/>
        <v>0</v>
      </c>
      <c r="F16" s="52"/>
      <c r="G16" s="53">
        <f t="shared" si="2"/>
        <v>0</v>
      </c>
      <c r="H16" s="52"/>
      <c r="I16" s="53">
        <f t="shared" si="3"/>
        <v>0</v>
      </c>
      <c r="J16" s="376" t="b">
        <f t="shared" si="1"/>
        <v>1</v>
      </c>
    </row>
    <row r="17" spans="1:10" ht="15" customHeight="1" x14ac:dyDescent="0.2">
      <c r="A17" s="49"/>
      <c r="B17" s="50"/>
      <c r="C17" s="51"/>
      <c r="D17" s="52"/>
      <c r="E17" s="53">
        <f t="shared" si="0"/>
        <v>0</v>
      </c>
      <c r="F17" s="52"/>
      <c r="G17" s="53">
        <f t="shared" si="2"/>
        <v>0</v>
      </c>
      <c r="H17" s="52"/>
      <c r="I17" s="53">
        <f t="shared" si="3"/>
        <v>0</v>
      </c>
      <c r="J17" s="376" t="b">
        <f t="shared" si="1"/>
        <v>1</v>
      </c>
    </row>
    <row r="18" spans="1:10" ht="15" customHeight="1" x14ac:dyDescent="0.2">
      <c r="A18" s="49"/>
      <c r="B18" s="50"/>
      <c r="C18" s="51"/>
      <c r="D18" s="52"/>
      <c r="E18" s="53">
        <f t="shared" si="0"/>
        <v>0</v>
      </c>
      <c r="F18" s="52"/>
      <c r="G18" s="53">
        <f t="shared" si="2"/>
        <v>0</v>
      </c>
      <c r="H18" s="52"/>
      <c r="I18" s="53">
        <f t="shared" si="3"/>
        <v>0</v>
      </c>
      <c r="J18" s="376" t="b">
        <f t="shared" si="1"/>
        <v>1</v>
      </c>
    </row>
    <row r="19" spans="1:10" ht="15" customHeight="1" x14ac:dyDescent="0.2">
      <c r="A19" s="49"/>
      <c r="B19" s="50"/>
      <c r="C19" s="51"/>
      <c r="D19" s="52"/>
      <c r="E19" s="53">
        <f t="shared" si="0"/>
        <v>0</v>
      </c>
      <c r="F19" s="52"/>
      <c r="G19" s="53">
        <f t="shared" si="2"/>
        <v>0</v>
      </c>
      <c r="H19" s="52"/>
      <c r="I19" s="53">
        <f t="shared" si="3"/>
        <v>0</v>
      </c>
      <c r="J19" s="376" t="b">
        <f t="shared" si="1"/>
        <v>1</v>
      </c>
    </row>
    <row r="20" spans="1:10" ht="15" customHeight="1" x14ac:dyDescent="0.2">
      <c r="A20" s="49"/>
      <c r="B20" s="50"/>
      <c r="C20" s="51"/>
      <c r="D20" s="52"/>
      <c r="E20" s="53">
        <f t="shared" si="0"/>
        <v>0</v>
      </c>
      <c r="F20" s="52"/>
      <c r="G20" s="53">
        <f t="shared" si="2"/>
        <v>0</v>
      </c>
      <c r="H20" s="52"/>
      <c r="I20" s="53">
        <f t="shared" si="3"/>
        <v>0</v>
      </c>
      <c r="J20" s="376" t="b">
        <f t="shared" si="1"/>
        <v>1</v>
      </c>
    </row>
    <row r="21" spans="1:10" ht="15" customHeight="1" x14ac:dyDescent="0.2">
      <c r="A21" s="49"/>
      <c r="B21" s="50"/>
      <c r="C21" s="51"/>
      <c r="D21" s="52"/>
      <c r="E21" s="53">
        <f t="shared" si="0"/>
        <v>0</v>
      </c>
      <c r="F21" s="52"/>
      <c r="G21" s="53">
        <f t="shared" si="2"/>
        <v>0</v>
      </c>
      <c r="H21" s="52"/>
      <c r="I21" s="53">
        <f t="shared" si="3"/>
        <v>0</v>
      </c>
      <c r="J21" s="376" t="b">
        <f t="shared" si="1"/>
        <v>1</v>
      </c>
    </row>
    <row r="22" spans="1:10" ht="15" customHeight="1" thickBot="1" x14ac:dyDescent="0.25">
      <c r="A22" s="54"/>
      <c r="B22" s="55"/>
      <c r="C22" s="56"/>
      <c r="D22" s="57"/>
      <c r="E22" s="58">
        <f t="shared" si="0"/>
        <v>0</v>
      </c>
      <c r="F22" s="57"/>
      <c r="G22" s="58">
        <f t="shared" si="2"/>
        <v>0</v>
      </c>
      <c r="H22" s="57"/>
      <c r="I22" s="58">
        <f t="shared" si="3"/>
        <v>0</v>
      </c>
      <c r="J22" s="376" t="b">
        <f t="shared" si="1"/>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4"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fKiOwMge67UvZ14hlBeckKfdv7cDmfAM5C3VreBPXSuEs21ahIrK+HAxV91N69rKrLuYWoNzkJN9sG8zjoTbSw==" saltValue="96d4w73X5OgTlKH6MBI0iQ==" spinCount="100000" sheet="1" objects="1" scenarios="1" selectLockedCells="1"/>
  <mergeCells count="63">
    <mergeCell ref="B9:C9"/>
    <mergeCell ref="A11:C11"/>
    <mergeCell ref="D11:E11"/>
    <mergeCell ref="F11:G11"/>
    <mergeCell ref="H11:I11"/>
    <mergeCell ref="A34:B34"/>
    <mergeCell ref="A28:C28"/>
    <mergeCell ref="D28:E28"/>
    <mergeCell ref="F28:G28"/>
    <mergeCell ref="H28:I28"/>
    <mergeCell ref="A29:B29"/>
    <mergeCell ref="A30:B30"/>
    <mergeCell ref="A31:B31"/>
    <mergeCell ref="A32:B32"/>
    <mergeCell ref="A33:B33"/>
    <mergeCell ref="A35:B35"/>
    <mergeCell ref="A36:B36"/>
    <mergeCell ref="A37:B37"/>
    <mergeCell ref="A38:B38"/>
    <mergeCell ref="A39:B39"/>
    <mergeCell ref="D43:E43"/>
    <mergeCell ref="F43:G43"/>
    <mergeCell ref="H43:I43"/>
    <mergeCell ref="A44:C44"/>
    <mergeCell ref="A47:C47"/>
    <mergeCell ref="A45:C45"/>
    <mergeCell ref="A43:C43"/>
    <mergeCell ref="A48:C48"/>
    <mergeCell ref="A49:C49"/>
    <mergeCell ref="A50:C50"/>
    <mergeCell ref="A51:C51"/>
    <mergeCell ref="F58:G58"/>
    <mergeCell ref="H58:I58"/>
    <mergeCell ref="A59:C59"/>
    <mergeCell ref="A60:C60"/>
    <mergeCell ref="A61:C61"/>
    <mergeCell ref="A58:C58"/>
    <mergeCell ref="D58:E58"/>
    <mergeCell ref="D73:E73"/>
    <mergeCell ref="F73:G73"/>
    <mergeCell ref="H73:I73"/>
    <mergeCell ref="A63:C63"/>
    <mergeCell ref="A64:C64"/>
    <mergeCell ref="A65:C65"/>
    <mergeCell ref="A66:C66"/>
    <mergeCell ref="A67:C67"/>
    <mergeCell ref="A68:C68"/>
    <mergeCell ref="A74:C74"/>
    <mergeCell ref="A75:C75"/>
    <mergeCell ref="A76:C76"/>
    <mergeCell ref="A23:C23"/>
    <mergeCell ref="A24:C24"/>
    <mergeCell ref="A25:C25"/>
    <mergeCell ref="A40:C40"/>
    <mergeCell ref="A55:C55"/>
    <mergeCell ref="A70:C70"/>
    <mergeCell ref="A69:C69"/>
    <mergeCell ref="A73:C73"/>
    <mergeCell ref="A62:C62"/>
    <mergeCell ref="A52:C52"/>
    <mergeCell ref="A53:C53"/>
    <mergeCell ref="A54:C54"/>
    <mergeCell ref="A46:C46"/>
  </mergeCells>
  <dataValidations count="1">
    <dataValidation type="list" allowBlank="1" showInputMessage="1" showErrorMessage="1" sqref="B9" xr:uid="{59FB0E58-0C15-467D-B8BF-2D621D9510F4}">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CFA2D-2E16-45C9-825C-844CE7A5A948}">
  <sheetPr codeName="Sheet4">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3</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3</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eH6rO1bKVx6i2eLVL3Eg+86R113V82D4xARKM3f3DHb3SPwb+D7j8BvrlRCpZuQ0fBp3ZQgIVvyQiOMT6pTDzQ==" saltValue="/9sUYCp9s4Y+UpJJqkYAyA==" spinCount="100000" sheet="1" objects="1" scenarios="1" selectLockedCells="1"/>
  <mergeCells count="63">
    <mergeCell ref="H28:I28"/>
    <mergeCell ref="B9:C9"/>
    <mergeCell ref="A11:C11"/>
    <mergeCell ref="D11:E11"/>
    <mergeCell ref="F11:G11"/>
    <mergeCell ref="H11:I11"/>
    <mergeCell ref="A23:C23"/>
    <mergeCell ref="A24:C24"/>
    <mergeCell ref="A25:C25"/>
    <mergeCell ref="A28:C28"/>
    <mergeCell ref="D28:E28"/>
    <mergeCell ref="F28:G28"/>
    <mergeCell ref="A40:C40"/>
    <mergeCell ref="A29:B29"/>
    <mergeCell ref="A30:B30"/>
    <mergeCell ref="A31:B31"/>
    <mergeCell ref="A32:B32"/>
    <mergeCell ref="A33:B33"/>
    <mergeCell ref="A34:B34"/>
    <mergeCell ref="A35:B35"/>
    <mergeCell ref="A36:B36"/>
    <mergeCell ref="A37:B37"/>
    <mergeCell ref="A38:B38"/>
    <mergeCell ref="A39:B39"/>
    <mergeCell ref="A51:C51"/>
    <mergeCell ref="A43:C43"/>
    <mergeCell ref="D43:E43"/>
    <mergeCell ref="F43:G43"/>
    <mergeCell ref="H43:I43"/>
    <mergeCell ref="A44:C44"/>
    <mergeCell ref="A45:C45"/>
    <mergeCell ref="A46:C46"/>
    <mergeCell ref="A47:C47"/>
    <mergeCell ref="A48:C48"/>
    <mergeCell ref="A49:C49"/>
    <mergeCell ref="A50:C50"/>
    <mergeCell ref="A62:C62"/>
    <mergeCell ref="A52:C52"/>
    <mergeCell ref="A53:C53"/>
    <mergeCell ref="A54:C54"/>
    <mergeCell ref="A55:C55"/>
    <mergeCell ref="A58:C58"/>
    <mergeCell ref="F58:G58"/>
    <mergeCell ref="H58:I58"/>
    <mergeCell ref="A59:C59"/>
    <mergeCell ref="A60:C60"/>
    <mergeCell ref="A61:C61"/>
    <mergeCell ref="D58:E58"/>
    <mergeCell ref="D73:E73"/>
    <mergeCell ref="F73:G73"/>
    <mergeCell ref="H73:I73"/>
    <mergeCell ref="A63:C63"/>
    <mergeCell ref="A64:C64"/>
    <mergeCell ref="A65:C65"/>
    <mergeCell ref="A66:C66"/>
    <mergeCell ref="A67:C67"/>
    <mergeCell ref="A68:C68"/>
    <mergeCell ref="A74:C74"/>
    <mergeCell ref="A75:C75"/>
    <mergeCell ref="A76:C76"/>
    <mergeCell ref="A69:C69"/>
    <mergeCell ref="A70:C70"/>
    <mergeCell ref="A73:C73"/>
  </mergeCells>
  <dataValidations count="1">
    <dataValidation type="list" allowBlank="1" showInputMessage="1" showErrorMessage="1" sqref="B9" xr:uid="{24DC4E9A-FFC0-4CBF-9542-5506BA2A1F2E}">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17046-EAA3-4BE9-85BF-D4309669E1D2}">
  <sheetPr codeName="Sheet9">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4</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4</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izFtvZS2w6lzBqW7A84LkBawZfDzwxGXOTPrJyttvC9SUj/Yn2f7gblcjIm44T/CnAMz/dy+A/cMiGM0cABsjQ==" saltValue="1ZuttTzPo3i+OV5O7JSsQw==" spinCount="100000" sheet="1" objects="1" scenarios="1" selectLockedCells="1"/>
  <mergeCells count="63">
    <mergeCell ref="H28:I28"/>
    <mergeCell ref="B9:C9"/>
    <mergeCell ref="A11:C11"/>
    <mergeCell ref="D11:E11"/>
    <mergeCell ref="F11:G11"/>
    <mergeCell ref="H11:I11"/>
    <mergeCell ref="A23:C23"/>
    <mergeCell ref="A24:C24"/>
    <mergeCell ref="A25:C25"/>
    <mergeCell ref="A28:C28"/>
    <mergeCell ref="D28:E28"/>
    <mergeCell ref="F28:G28"/>
    <mergeCell ref="A40:C40"/>
    <mergeCell ref="A29:B29"/>
    <mergeCell ref="A30:B30"/>
    <mergeCell ref="A31:B31"/>
    <mergeCell ref="A32:B32"/>
    <mergeCell ref="A33:B33"/>
    <mergeCell ref="A34:B34"/>
    <mergeCell ref="A35:B35"/>
    <mergeCell ref="A36:B36"/>
    <mergeCell ref="A37:B37"/>
    <mergeCell ref="A38:B38"/>
    <mergeCell ref="A39:B39"/>
    <mergeCell ref="A51:C51"/>
    <mergeCell ref="A43:C43"/>
    <mergeCell ref="D43:E43"/>
    <mergeCell ref="F43:G43"/>
    <mergeCell ref="H43:I43"/>
    <mergeCell ref="A44:C44"/>
    <mergeCell ref="A45:C45"/>
    <mergeCell ref="A46:C46"/>
    <mergeCell ref="A47:C47"/>
    <mergeCell ref="A48:C48"/>
    <mergeCell ref="A49:C49"/>
    <mergeCell ref="A50:C50"/>
    <mergeCell ref="A62:C62"/>
    <mergeCell ref="A52:C52"/>
    <mergeCell ref="A53:C53"/>
    <mergeCell ref="A54:C54"/>
    <mergeCell ref="A55:C55"/>
    <mergeCell ref="A58:C58"/>
    <mergeCell ref="F58:G58"/>
    <mergeCell ref="H58:I58"/>
    <mergeCell ref="A59:C59"/>
    <mergeCell ref="A60:C60"/>
    <mergeCell ref="A61:C61"/>
    <mergeCell ref="D58:E58"/>
    <mergeCell ref="D73:E73"/>
    <mergeCell ref="F73:G73"/>
    <mergeCell ref="H73:I73"/>
    <mergeCell ref="A63:C63"/>
    <mergeCell ref="A64:C64"/>
    <mergeCell ref="A65:C65"/>
    <mergeCell ref="A66:C66"/>
    <mergeCell ref="A67:C67"/>
    <mergeCell ref="A68:C68"/>
    <mergeCell ref="A74:C74"/>
    <mergeCell ref="A75:C75"/>
    <mergeCell ref="A76:C76"/>
    <mergeCell ref="A69:C69"/>
    <mergeCell ref="A70:C70"/>
    <mergeCell ref="A73:C73"/>
  </mergeCells>
  <dataValidations count="1">
    <dataValidation type="list" allowBlank="1" showInputMessage="1" showErrorMessage="1" sqref="B9" xr:uid="{E59A2ACF-FE84-4ECA-A459-453A946C85CE}">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CE62E-3DC3-4277-88E9-2E1F1CF37E27}">
  <sheetPr codeName="Sheet10">
    <pageSetUpPr fitToPage="1"/>
  </sheetPr>
  <dimension ref="A1:K76"/>
  <sheetViews>
    <sheetView zoomScale="85" zoomScaleNormal="85" workbookViewId="0">
      <selection activeCell="B9" sqref="B9:C9"/>
    </sheetView>
  </sheetViews>
  <sheetFormatPr defaultColWidth="9.140625" defaultRowHeight="15" customHeight="1" x14ac:dyDescent="0.2"/>
  <cols>
    <col min="1" max="2" width="45.7109375" style="45" customWidth="1"/>
    <col min="3" max="3" width="12.7109375" style="45" customWidth="1"/>
    <col min="4" max="4" width="9.7109375" style="45" customWidth="1"/>
    <col min="5" max="5" width="12.7109375" style="45" customWidth="1"/>
    <col min="6" max="6" width="9.7109375" style="45" customWidth="1"/>
    <col min="7" max="7" width="12.7109375" style="45" customWidth="1"/>
    <col min="8" max="8" width="9.7109375" style="45" customWidth="1"/>
    <col min="9" max="10" width="12.7109375" style="45" customWidth="1"/>
    <col min="11" max="16384" width="9.140625" style="45"/>
  </cols>
  <sheetData>
    <row r="1" spans="1:10" s="90" customFormat="1" ht="30" customHeight="1" x14ac:dyDescent="0.4">
      <c r="A1" s="21" t="str" cm="1">
        <f t="array" aca="1" ref="A1" ca="1">"Begroting – " &amp; MID(CELL("filename",$A$1),FIND("]",CELL("filename",$A$1))+1,255)&amp;IF(B5="","",": "&amp;B5)</f>
        <v>Begroting – Deelnemer 5</v>
      </c>
    </row>
    <row r="2" spans="1:10" ht="15" customHeight="1" x14ac:dyDescent="0.2">
      <c r="A2" s="88" t="s">
        <v>96</v>
      </c>
    </row>
    <row r="3" spans="1:10" ht="15" customHeight="1" thickBot="1" x14ac:dyDescent="0.25">
      <c r="A3" s="46"/>
      <c r="B3" s="46"/>
      <c r="C3" s="46"/>
    </row>
    <row r="4" spans="1:10" ht="15" customHeight="1" x14ac:dyDescent="0.2">
      <c r="A4" s="24" t="s">
        <v>10</v>
      </c>
      <c r="B4" s="25" t="str">
        <f>IF(ISBLANK(Projectacroniem),"",Projectacroniem)</f>
        <v/>
      </c>
      <c r="C4" s="26"/>
      <c r="D4" s="47"/>
    </row>
    <row r="5" spans="1:10" ht="15" customHeight="1" x14ac:dyDescent="0.2">
      <c r="A5" s="27" t="str" cm="1">
        <f t="array" aca="1" ref="A5" ca="1">MID(CELL("filename",$A$1),FIND("]",CELL("filename",$A$1))+1,255)</f>
        <v>Deelnemer 5</v>
      </c>
      <c r="B5" s="28" t="str">
        <f ca="1">_xlfn.XLOOKUP($A$5,Table_LuT_Deelnemers[ID Deelnemer],Table_LuT_Deelnemers[Naam Organisatie])</f>
        <v/>
      </c>
      <c r="C5" s="26"/>
      <c r="D5" s="47"/>
    </row>
    <row r="6" spans="1:10" ht="15" customHeight="1" thickBot="1" x14ac:dyDescent="0.25">
      <c r="A6" s="29" t="s">
        <v>1</v>
      </c>
      <c r="B6" s="30" t="str">
        <f ca="1">_xlfn.XLOOKUP($A$5,Table_LuT_Deelnemers[ID Deelnemer],Table_LuT_Deelnemers[Type Organisatie])</f>
        <v/>
      </c>
      <c r="C6" s="26"/>
      <c r="D6" s="47"/>
    </row>
    <row r="7" spans="1:10" ht="15" customHeight="1" x14ac:dyDescent="0.2">
      <c r="A7" s="31"/>
      <c r="B7" s="26"/>
      <c r="C7" s="26"/>
      <c r="D7" s="47"/>
    </row>
    <row r="8" spans="1:10" ht="15" customHeight="1" thickBot="1" x14ac:dyDescent="0.25">
      <c r="A8" s="89" t="s">
        <v>21</v>
      </c>
      <c r="B8" s="33"/>
      <c r="C8" s="26"/>
      <c r="D8" s="47"/>
    </row>
    <row r="9" spans="1:10" ht="15" customHeight="1" thickBot="1" x14ac:dyDescent="0.25">
      <c r="A9" s="34" t="s">
        <v>5</v>
      </c>
      <c r="B9" s="453" t="s">
        <v>19</v>
      </c>
      <c r="C9" s="454"/>
      <c r="D9" s="47"/>
      <c r="E9" s="416" t="str">
        <f ca="1">IF(NOT(_xlfn.XLOOKUP(A5,Table_LuT_Deelnemers[ID Deelnemer],Table_LuT_Deelnemers[Check 150],"&lt;Not in Checks&gt;",0,1)),_xlfn.XLOOKUP("E-150",Table_Foutmeldingen[Nr. Foutmelding],Table_Foutmeldingen[Foutmelding],"&lt;Not in LuT Foutmeldingen&gt;",0,1),"")</f>
        <v/>
      </c>
      <c r="F9" s="417"/>
      <c r="G9" s="417"/>
      <c r="H9" s="417"/>
      <c r="I9" s="374"/>
    </row>
    <row r="10" spans="1:10" ht="15" customHeight="1" thickBot="1" x14ac:dyDescent="0.25">
      <c r="A10" s="46"/>
      <c r="B10" s="48"/>
      <c r="C10" s="48"/>
      <c r="D10" s="46"/>
      <c r="E10" s="46"/>
      <c r="F10" s="46"/>
      <c r="G10" s="46"/>
      <c r="H10" s="46"/>
      <c r="I10" s="46"/>
    </row>
    <row r="11" spans="1:10" ht="15" customHeight="1" thickBot="1" x14ac:dyDescent="0.25">
      <c r="A11" s="445" t="s">
        <v>36</v>
      </c>
      <c r="B11" s="446"/>
      <c r="C11" s="455"/>
      <c r="D11" s="460" t="s">
        <v>26</v>
      </c>
      <c r="E11" s="461"/>
      <c r="F11" s="460" t="s">
        <v>27</v>
      </c>
      <c r="G11" s="461"/>
      <c r="H11" s="460" t="s">
        <v>28</v>
      </c>
      <c r="I11" s="461"/>
    </row>
    <row r="12" spans="1:10" ht="30" customHeight="1" x14ac:dyDescent="0.2">
      <c r="A12" s="35" t="s">
        <v>22</v>
      </c>
      <c r="B12" s="36" t="s">
        <v>23</v>
      </c>
      <c r="C12" s="37" t="s">
        <v>24</v>
      </c>
      <c r="D12" s="38" t="s">
        <v>25</v>
      </c>
      <c r="E12" s="39" t="s">
        <v>29</v>
      </c>
      <c r="F12" s="38" t="s">
        <v>25</v>
      </c>
      <c r="G12" s="39" t="s">
        <v>29</v>
      </c>
      <c r="H12" s="38" t="s">
        <v>25</v>
      </c>
      <c r="I12" s="39" t="s">
        <v>29</v>
      </c>
      <c r="J12" s="47"/>
    </row>
    <row r="13" spans="1:10" ht="15" customHeight="1" x14ac:dyDescent="0.2">
      <c r="A13" s="49"/>
      <c r="B13" s="50"/>
      <c r="C13" s="51"/>
      <c r="D13" s="52"/>
      <c r="E13" s="53">
        <f>D13*$C13</f>
        <v>0</v>
      </c>
      <c r="F13" s="52"/>
      <c r="G13" s="53">
        <f>F13*$C13</f>
        <v>0</v>
      </c>
      <c r="H13" s="52"/>
      <c r="I13" s="53">
        <f>H13*$C13</f>
        <v>0</v>
      </c>
      <c r="J13" s="376" t="b">
        <f t="shared" ref="J13:J22" si="0">OR(Kostensystematiek&lt;&gt;Vaste_uurtarief,0=$C13,$C13=60)</f>
        <v>1</v>
      </c>
    </row>
    <row r="14" spans="1:10" ht="15" customHeight="1" x14ac:dyDescent="0.2">
      <c r="A14" s="49"/>
      <c r="B14" s="50"/>
      <c r="C14" s="51"/>
      <c r="D14" s="52"/>
      <c r="E14" s="53">
        <f t="shared" ref="E14:E22" si="1">D14*$C14</f>
        <v>0</v>
      </c>
      <c r="F14" s="52"/>
      <c r="G14" s="53">
        <f t="shared" ref="G14:G22" si="2">F14*$C14</f>
        <v>0</v>
      </c>
      <c r="H14" s="52"/>
      <c r="I14" s="53">
        <f t="shared" ref="I14:I22" si="3">H14*$C14</f>
        <v>0</v>
      </c>
      <c r="J14" s="376" t="b">
        <f t="shared" si="0"/>
        <v>1</v>
      </c>
    </row>
    <row r="15" spans="1:10" ht="15" customHeight="1" x14ac:dyDescent="0.2">
      <c r="A15" s="49"/>
      <c r="B15" s="50"/>
      <c r="C15" s="51"/>
      <c r="D15" s="52"/>
      <c r="E15" s="53">
        <f t="shared" si="1"/>
        <v>0</v>
      </c>
      <c r="F15" s="52"/>
      <c r="G15" s="53">
        <f t="shared" si="2"/>
        <v>0</v>
      </c>
      <c r="H15" s="52"/>
      <c r="I15" s="53">
        <f t="shared" si="3"/>
        <v>0</v>
      </c>
      <c r="J15" s="376" t="b">
        <f t="shared" si="0"/>
        <v>1</v>
      </c>
    </row>
    <row r="16" spans="1:10" ht="15" customHeight="1" x14ac:dyDescent="0.2">
      <c r="A16" s="49"/>
      <c r="B16" s="50"/>
      <c r="C16" s="51"/>
      <c r="D16" s="52"/>
      <c r="E16" s="53">
        <f t="shared" si="1"/>
        <v>0</v>
      </c>
      <c r="F16" s="52"/>
      <c r="G16" s="53">
        <f t="shared" si="2"/>
        <v>0</v>
      </c>
      <c r="H16" s="52"/>
      <c r="I16" s="53">
        <f t="shared" si="3"/>
        <v>0</v>
      </c>
      <c r="J16" s="376" t="b">
        <f t="shared" si="0"/>
        <v>1</v>
      </c>
    </row>
    <row r="17" spans="1:10" ht="15" customHeight="1" x14ac:dyDescent="0.2">
      <c r="A17" s="49"/>
      <c r="B17" s="50"/>
      <c r="C17" s="51"/>
      <c r="D17" s="52"/>
      <c r="E17" s="53">
        <f t="shared" si="1"/>
        <v>0</v>
      </c>
      <c r="F17" s="52"/>
      <c r="G17" s="53">
        <f t="shared" si="2"/>
        <v>0</v>
      </c>
      <c r="H17" s="52"/>
      <c r="I17" s="53">
        <f t="shared" si="3"/>
        <v>0</v>
      </c>
      <c r="J17" s="376" t="b">
        <f t="shared" si="0"/>
        <v>1</v>
      </c>
    </row>
    <row r="18" spans="1:10" ht="15" customHeight="1" x14ac:dyDescent="0.2">
      <c r="A18" s="49"/>
      <c r="B18" s="50"/>
      <c r="C18" s="51"/>
      <c r="D18" s="52"/>
      <c r="E18" s="53">
        <f t="shared" si="1"/>
        <v>0</v>
      </c>
      <c r="F18" s="52"/>
      <c r="G18" s="53">
        <f t="shared" si="2"/>
        <v>0</v>
      </c>
      <c r="H18" s="52"/>
      <c r="I18" s="53">
        <f t="shared" si="3"/>
        <v>0</v>
      </c>
      <c r="J18" s="376" t="b">
        <f t="shared" si="0"/>
        <v>1</v>
      </c>
    </row>
    <row r="19" spans="1:10" ht="15" customHeight="1" x14ac:dyDescent="0.2">
      <c r="A19" s="49"/>
      <c r="B19" s="50"/>
      <c r="C19" s="51"/>
      <c r="D19" s="52"/>
      <c r="E19" s="53">
        <f t="shared" si="1"/>
        <v>0</v>
      </c>
      <c r="F19" s="52"/>
      <c r="G19" s="53">
        <f t="shared" si="2"/>
        <v>0</v>
      </c>
      <c r="H19" s="52"/>
      <c r="I19" s="53">
        <f t="shared" si="3"/>
        <v>0</v>
      </c>
      <c r="J19" s="376" t="b">
        <f t="shared" si="0"/>
        <v>1</v>
      </c>
    </row>
    <row r="20" spans="1:10" ht="15" customHeight="1" x14ac:dyDescent="0.2">
      <c r="A20" s="49"/>
      <c r="B20" s="50"/>
      <c r="C20" s="51"/>
      <c r="D20" s="52"/>
      <c r="E20" s="53">
        <f t="shared" si="1"/>
        <v>0</v>
      </c>
      <c r="F20" s="52"/>
      <c r="G20" s="53">
        <f t="shared" si="2"/>
        <v>0</v>
      </c>
      <c r="H20" s="52"/>
      <c r="I20" s="53">
        <f t="shared" si="3"/>
        <v>0</v>
      </c>
      <c r="J20" s="376" t="b">
        <f t="shared" si="0"/>
        <v>1</v>
      </c>
    </row>
    <row r="21" spans="1:10" ht="15" customHeight="1" x14ac:dyDescent="0.2">
      <c r="A21" s="49"/>
      <c r="B21" s="50"/>
      <c r="C21" s="51"/>
      <c r="D21" s="52"/>
      <c r="E21" s="53">
        <f t="shared" si="1"/>
        <v>0</v>
      </c>
      <c r="F21" s="52"/>
      <c r="G21" s="53">
        <f t="shared" si="2"/>
        <v>0</v>
      </c>
      <c r="H21" s="52"/>
      <c r="I21" s="53">
        <f t="shared" si="3"/>
        <v>0</v>
      </c>
      <c r="J21" s="376" t="b">
        <f t="shared" si="0"/>
        <v>1</v>
      </c>
    </row>
    <row r="22" spans="1:10" ht="15" customHeight="1" thickBot="1" x14ac:dyDescent="0.25">
      <c r="A22" s="54"/>
      <c r="B22" s="55"/>
      <c r="C22" s="56"/>
      <c r="D22" s="57"/>
      <c r="E22" s="58">
        <f t="shared" si="1"/>
        <v>0</v>
      </c>
      <c r="F22" s="57"/>
      <c r="G22" s="58">
        <f t="shared" si="2"/>
        <v>0</v>
      </c>
      <c r="H22" s="57"/>
      <c r="I22" s="58">
        <f t="shared" si="3"/>
        <v>0</v>
      </c>
      <c r="J22" s="376" t="b">
        <f t="shared" si="0"/>
        <v>1</v>
      </c>
    </row>
    <row r="23" spans="1:10" s="44" customFormat="1" ht="15" customHeight="1" x14ac:dyDescent="0.2">
      <c r="A23" s="447" t="s">
        <v>30</v>
      </c>
      <c r="B23" s="448"/>
      <c r="C23" s="448"/>
      <c r="D23" s="40"/>
      <c r="E23" s="41">
        <f>SUBTOTAL(9,E13:E22)</f>
        <v>0</v>
      </c>
      <c r="F23" s="42"/>
      <c r="G23" s="41">
        <f>SUBTOTAL(9,G13:G22)</f>
        <v>0</v>
      </c>
      <c r="H23" s="42"/>
      <c r="I23" s="41">
        <f>SUBTOTAL(9,I13:I22)</f>
        <v>0</v>
      </c>
      <c r="J23" s="377" t="b">
        <f>AND($J$13:$J$22)</f>
        <v>1</v>
      </c>
    </row>
    <row r="24" spans="1:10" ht="15" customHeight="1" thickBot="1" x14ac:dyDescent="0.25">
      <c r="A24" s="441" t="s">
        <v>31</v>
      </c>
      <c r="B24" s="442"/>
      <c r="C24" s="442"/>
      <c r="D24" s="60"/>
      <c r="E24" s="61">
        <f>IF(Kostensystematiek=Vaste_uurtarief,0,(IF(Kostensystematiek=Integrale_Kosten,0,(IF(Kostensystematiek=Directe_Loonkosten,E23*0.5,0)))))</f>
        <v>0</v>
      </c>
      <c r="F24" s="59"/>
      <c r="G24" s="61">
        <f>IF(Kostensystematiek=Vaste_uurtarief,0,(IF(Kostensystematiek=Integrale_Kosten,0,(IF(Kostensystematiek=Directe_Loonkosten,G23*0.5,0)))))</f>
        <v>0</v>
      </c>
      <c r="H24" s="59"/>
      <c r="I24" s="61">
        <f>IF(Kostensystematiek=Vaste_uurtarief,0,(IF(Kostensystematiek=Integrale_Kosten,0,(IF(Kostensystematiek=Directe_Loonkosten,I23*0.5,0)))))</f>
        <v>0</v>
      </c>
      <c r="J24" s="47"/>
    </row>
    <row r="25" spans="1:10" ht="15" customHeight="1" thickBot="1" x14ac:dyDescent="0.25">
      <c r="A25" s="443" t="s">
        <v>32</v>
      </c>
      <c r="B25" s="444"/>
      <c r="C25" s="444"/>
      <c r="D25" s="63"/>
      <c r="E25" s="64">
        <f>SUBTOTAL(9,E13:E24)</f>
        <v>0</v>
      </c>
      <c r="F25" s="65"/>
      <c r="G25" s="64">
        <f>SUBTOTAL(9,G13:G24)</f>
        <v>0</v>
      </c>
      <c r="H25" s="65"/>
      <c r="I25" s="64">
        <f>SUBTOTAL(9,I13:I24)</f>
        <v>0</v>
      </c>
      <c r="J25" s="379" t="str">
        <f ca="1">IF(NOT(_xlfn.XLOOKUP($A$5,Table_LuT_Deelnemers[ID Deelnemer],Table_LuT_Deelnemers[Check 160],"&lt;Not in Checks&gt;",0,1)),_xlfn.XLOOKUP("E-160",Table_Foutmeldingen[Nr. Foutmelding],Table_Foutmeldingen[Foutmelding],"&lt;Not in LuT Foutmeldingen&gt;",0,1),"")</f>
        <v/>
      </c>
    </row>
    <row r="26" spans="1:10" ht="15" customHeight="1" x14ac:dyDescent="0.2">
      <c r="A26" s="66"/>
      <c r="B26" s="66"/>
      <c r="C26" s="66"/>
      <c r="D26" s="66"/>
      <c r="E26" s="66"/>
      <c r="F26" s="66"/>
      <c r="G26" s="66"/>
      <c r="H26" s="66"/>
      <c r="I26" s="66"/>
    </row>
    <row r="27" spans="1:10" ht="15" customHeight="1" thickBot="1" x14ac:dyDescent="0.25">
      <c r="A27" s="46"/>
      <c r="B27" s="46"/>
      <c r="C27" s="46"/>
      <c r="D27" s="46"/>
      <c r="E27" s="46"/>
      <c r="F27" s="46"/>
      <c r="G27" s="46"/>
      <c r="H27" s="46"/>
      <c r="I27" s="46"/>
    </row>
    <row r="28" spans="1:10" ht="15" customHeight="1" thickBot="1" x14ac:dyDescent="0.25">
      <c r="A28" s="445" t="s">
        <v>37</v>
      </c>
      <c r="B28" s="446"/>
      <c r="C28" s="455"/>
      <c r="D28" s="460" t="s">
        <v>26</v>
      </c>
      <c r="E28" s="461"/>
      <c r="F28" s="460" t="s">
        <v>27</v>
      </c>
      <c r="G28" s="461"/>
      <c r="H28" s="460" t="s">
        <v>28</v>
      </c>
      <c r="I28" s="461"/>
    </row>
    <row r="29" spans="1:10" ht="30" customHeight="1" x14ac:dyDescent="0.2">
      <c r="A29" s="447" t="s">
        <v>33</v>
      </c>
      <c r="B29" s="465"/>
      <c r="C29" s="67" t="s">
        <v>43</v>
      </c>
      <c r="D29" s="68" t="s">
        <v>44</v>
      </c>
      <c r="E29" s="69" t="s">
        <v>45</v>
      </c>
      <c r="F29" s="68" t="s">
        <v>44</v>
      </c>
      <c r="G29" s="69" t="s">
        <v>45</v>
      </c>
      <c r="H29" s="68" t="s">
        <v>44</v>
      </c>
      <c r="I29" s="69" t="s">
        <v>45</v>
      </c>
    </row>
    <row r="30" spans="1:10" ht="15" customHeight="1" x14ac:dyDescent="0.2">
      <c r="A30" s="450"/>
      <c r="B30" s="459"/>
      <c r="C30" s="51"/>
      <c r="D30" s="52"/>
      <c r="E30" s="53">
        <f>D30*$C30</f>
        <v>0</v>
      </c>
      <c r="F30" s="52"/>
      <c r="G30" s="53">
        <f>F30*$C30</f>
        <v>0</v>
      </c>
      <c r="H30" s="52"/>
      <c r="I30" s="53">
        <f>H30*$C30</f>
        <v>0</v>
      </c>
    </row>
    <row r="31" spans="1:10" ht="15" customHeight="1" x14ac:dyDescent="0.2">
      <c r="A31" s="450"/>
      <c r="B31" s="459"/>
      <c r="C31" s="51"/>
      <c r="D31" s="52"/>
      <c r="E31" s="53">
        <f t="shared" ref="E31:E39" si="4">D31*$C31</f>
        <v>0</v>
      </c>
      <c r="F31" s="52"/>
      <c r="G31" s="53">
        <f t="shared" ref="G31:G39" si="5">F31*$C31</f>
        <v>0</v>
      </c>
      <c r="H31" s="52"/>
      <c r="I31" s="53">
        <f t="shared" ref="I31:I39" si="6">H31*$C31</f>
        <v>0</v>
      </c>
    </row>
    <row r="32" spans="1:10" ht="15" customHeight="1" x14ac:dyDescent="0.2">
      <c r="A32" s="450"/>
      <c r="B32" s="451"/>
      <c r="C32" s="70"/>
      <c r="D32" s="52"/>
      <c r="E32" s="53">
        <f t="shared" si="4"/>
        <v>0</v>
      </c>
      <c r="F32" s="52"/>
      <c r="G32" s="53">
        <f t="shared" si="5"/>
        <v>0</v>
      </c>
      <c r="H32" s="52"/>
      <c r="I32" s="53">
        <f t="shared" si="6"/>
        <v>0</v>
      </c>
    </row>
    <row r="33" spans="1:9" ht="15" customHeight="1" x14ac:dyDescent="0.2">
      <c r="A33" s="450"/>
      <c r="B33" s="459"/>
      <c r="C33" s="51"/>
      <c r="D33" s="52"/>
      <c r="E33" s="53">
        <f t="shared" si="4"/>
        <v>0</v>
      </c>
      <c r="F33" s="52"/>
      <c r="G33" s="53">
        <f t="shared" si="5"/>
        <v>0</v>
      </c>
      <c r="H33" s="52"/>
      <c r="I33" s="53">
        <f t="shared" si="6"/>
        <v>0</v>
      </c>
    </row>
    <row r="34" spans="1:9" ht="15" customHeight="1" x14ac:dyDescent="0.2">
      <c r="A34" s="450"/>
      <c r="B34" s="459"/>
      <c r="C34" s="51"/>
      <c r="D34" s="52"/>
      <c r="E34" s="53">
        <f t="shared" si="4"/>
        <v>0</v>
      </c>
      <c r="F34" s="52"/>
      <c r="G34" s="53">
        <f t="shared" si="5"/>
        <v>0</v>
      </c>
      <c r="H34" s="52"/>
      <c r="I34" s="53">
        <f t="shared" si="6"/>
        <v>0</v>
      </c>
    </row>
    <row r="35" spans="1:9" ht="15" customHeight="1" x14ac:dyDescent="0.2">
      <c r="A35" s="450"/>
      <c r="B35" s="451"/>
      <c r="C35" s="70"/>
      <c r="D35" s="52"/>
      <c r="E35" s="53">
        <f t="shared" si="4"/>
        <v>0</v>
      </c>
      <c r="F35" s="52"/>
      <c r="G35" s="53">
        <f t="shared" si="5"/>
        <v>0</v>
      </c>
      <c r="H35" s="52"/>
      <c r="I35" s="53">
        <f t="shared" si="6"/>
        <v>0</v>
      </c>
    </row>
    <row r="36" spans="1:9" ht="15" customHeight="1" x14ac:dyDescent="0.2">
      <c r="A36" s="450"/>
      <c r="B36" s="451"/>
      <c r="C36" s="70"/>
      <c r="D36" s="52"/>
      <c r="E36" s="53">
        <f t="shared" si="4"/>
        <v>0</v>
      </c>
      <c r="F36" s="52"/>
      <c r="G36" s="53">
        <f t="shared" si="5"/>
        <v>0</v>
      </c>
      <c r="H36" s="52"/>
      <c r="I36" s="53">
        <f t="shared" si="6"/>
        <v>0</v>
      </c>
    </row>
    <row r="37" spans="1:9" ht="15" customHeight="1" x14ac:dyDescent="0.2">
      <c r="A37" s="450"/>
      <c r="B37" s="459"/>
      <c r="C37" s="51"/>
      <c r="D37" s="52"/>
      <c r="E37" s="53">
        <f t="shared" si="4"/>
        <v>0</v>
      </c>
      <c r="F37" s="52"/>
      <c r="G37" s="53">
        <f t="shared" si="5"/>
        <v>0</v>
      </c>
      <c r="H37" s="52"/>
      <c r="I37" s="53">
        <f t="shared" si="6"/>
        <v>0</v>
      </c>
    </row>
    <row r="38" spans="1:9" ht="15" customHeight="1" x14ac:dyDescent="0.2">
      <c r="A38" s="450"/>
      <c r="B38" s="451"/>
      <c r="C38" s="70"/>
      <c r="D38" s="52"/>
      <c r="E38" s="53">
        <f t="shared" si="4"/>
        <v>0</v>
      </c>
      <c r="F38" s="52"/>
      <c r="G38" s="53">
        <f t="shared" si="5"/>
        <v>0</v>
      </c>
      <c r="H38" s="52"/>
      <c r="I38" s="53">
        <f t="shared" si="6"/>
        <v>0</v>
      </c>
    </row>
    <row r="39" spans="1:9" ht="15" customHeight="1" thickBot="1" x14ac:dyDescent="0.25">
      <c r="A39" s="462"/>
      <c r="B39" s="463"/>
      <c r="C39" s="71"/>
      <c r="D39" s="57"/>
      <c r="E39" s="58">
        <f t="shared" si="4"/>
        <v>0</v>
      </c>
      <c r="F39" s="57"/>
      <c r="G39" s="58">
        <f t="shared" si="5"/>
        <v>0</v>
      </c>
      <c r="H39" s="57"/>
      <c r="I39" s="58">
        <f t="shared" si="6"/>
        <v>0</v>
      </c>
    </row>
    <row r="40" spans="1:9" ht="15" customHeight="1" thickBot="1" x14ac:dyDescent="0.25">
      <c r="A40" s="445" t="s">
        <v>34</v>
      </c>
      <c r="B40" s="446"/>
      <c r="C40" s="446"/>
      <c r="D40" s="34"/>
      <c r="E40" s="64">
        <f>SUBTOTAL(9,E30:E39)</f>
        <v>0</v>
      </c>
      <c r="F40" s="65"/>
      <c r="G40" s="64">
        <f>SUBTOTAL(9,G30:G39)</f>
        <v>0</v>
      </c>
      <c r="H40" s="65"/>
      <c r="I40" s="64">
        <f>SUBTOTAL(9,I28:I39)</f>
        <v>0</v>
      </c>
    </row>
    <row r="41" spans="1:9" ht="15" customHeight="1" x14ac:dyDescent="0.2">
      <c r="A41" s="66"/>
      <c r="B41" s="66"/>
      <c r="C41" s="66"/>
      <c r="D41" s="66"/>
      <c r="E41" s="66"/>
      <c r="F41" s="66"/>
      <c r="G41" s="66"/>
      <c r="H41" s="66"/>
      <c r="I41" s="66"/>
    </row>
    <row r="42" spans="1:9" ht="15" customHeight="1" thickBot="1" x14ac:dyDescent="0.25">
      <c r="A42" s="46"/>
      <c r="B42" s="46"/>
      <c r="C42" s="46"/>
      <c r="D42" s="46"/>
      <c r="E42" s="46"/>
      <c r="F42" s="46"/>
      <c r="G42" s="46"/>
      <c r="H42" s="46"/>
      <c r="I42" s="46"/>
    </row>
    <row r="43" spans="1:9" ht="15" customHeight="1" thickBot="1" x14ac:dyDescent="0.25">
      <c r="A43" s="456" t="s">
        <v>79</v>
      </c>
      <c r="B43" s="457"/>
      <c r="C43" s="458"/>
      <c r="D43" s="460" t="s">
        <v>26</v>
      </c>
      <c r="E43" s="461"/>
      <c r="F43" s="460" t="s">
        <v>27</v>
      </c>
      <c r="G43" s="461"/>
      <c r="H43" s="460" t="s">
        <v>28</v>
      </c>
      <c r="I43" s="461"/>
    </row>
    <row r="44" spans="1:9" ht="30" customHeight="1" x14ac:dyDescent="0.2">
      <c r="A44" s="447" t="s">
        <v>33</v>
      </c>
      <c r="B44" s="448"/>
      <c r="C44" s="449"/>
      <c r="D44" s="72"/>
      <c r="E44" s="73" t="s">
        <v>15</v>
      </c>
      <c r="F44" s="74"/>
      <c r="G44" s="73" t="s">
        <v>15</v>
      </c>
      <c r="H44" s="75"/>
      <c r="I44" s="73" t="s">
        <v>15</v>
      </c>
    </row>
    <row r="45" spans="1:9" ht="15" customHeight="1" x14ac:dyDescent="0.2">
      <c r="A45" s="450"/>
      <c r="B45" s="451"/>
      <c r="C45" s="452"/>
      <c r="D45" s="60"/>
      <c r="E45" s="76"/>
      <c r="F45" s="59"/>
      <c r="G45" s="76"/>
      <c r="H45" s="77"/>
      <c r="I45" s="76"/>
    </row>
    <row r="46" spans="1:9" ht="15" customHeight="1" x14ac:dyDescent="0.2">
      <c r="A46" s="450"/>
      <c r="B46" s="451"/>
      <c r="C46" s="452"/>
      <c r="D46" s="60"/>
      <c r="E46" s="76"/>
      <c r="F46" s="59"/>
      <c r="G46" s="76"/>
      <c r="H46" s="77"/>
      <c r="I46" s="76"/>
    </row>
    <row r="47" spans="1:9" ht="15" customHeight="1" x14ac:dyDescent="0.2">
      <c r="A47" s="450"/>
      <c r="B47" s="451"/>
      <c r="C47" s="452"/>
      <c r="D47" s="60"/>
      <c r="E47" s="76"/>
      <c r="F47" s="59"/>
      <c r="G47" s="76"/>
      <c r="H47" s="77"/>
      <c r="I47" s="76"/>
    </row>
    <row r="48" spans="1:9" ht="15" customHeight="1" x14ac:dyDescent="0.2">
      <c r="A48" s="450"/>
      <c r="B48" s="451"/>
      <c r="C48" s="452"/>
      <c r="D48" s="60"/>
      <c r="E48" s="76"/>
      <c r="F48" s="59"/>
      <c r="G48" s="76"/>
      <c r="H48" s="77"/>
      <c r="I48" s="76"/>
    </row>
    <row r="49" spans="1:10" ht="15" customHeight="1" x14ac:dyDescent="0.2">
      <c r="A49" s="450"/>
      <c r="B49" s="451"/>
      <c r="C49" s="452"/>
      <c r="D49" s="60"/>
      <c r="E49" s="76"/>
      <c r="F49" s="59"/>
      <c r="G49" s="76"/>
      <c r="H49" s="77"/>
      <c r="I49" s="76"/>
    </row>
    <row r="50" spans="1:10" ht="15" customHeight="1" x14ac:dyDescent="0.2">
      <c r="A50" s="450"/>
      <c r="B50" s="451"/>
      <c r="C50" s="452"/>
      <c r="D50" s="60"/>
      <c r="E50" s="76"/>
      <c r="F50" s="59"/>
      <c r="G50" s="76"/>
      <c r="H50" s="77"/>
      <c r="I50" s="76"/>
    </row>
    <row r="51" spans="1:10" ht="15" customHeight="1" x14ac:dyDescent="0.2">
      <c r="A51" s="450"/>
      <c r="B51" s="451"/>
      <c r="C51" s="452"/>
      <c r="D51" s="60"/>
      <c r="E51" s="76"/>
      <c r="F51" s="59"/>
      <c r="G51" s="76"/>
      <c r="H51" s="77"/>
      <c r="I51" s="76"/>
    </row>
    <row r="52" spans="1:10" ht="15" customHeight="1" x14ac:dyDescent="0.2">
      <c r="A52" s="450"/>
      <c r="B52" s="451"/>
      <c r="C52" s="452"/>
      <c r="D52" s="60"/>
      <c r="E52" s="76"/>
      <c r="F52" s="59"/>
      <c r="G52" s="76"/>
      <c r="H52" s="77"/>
      <c r="I52" s="76"/>
    </row>
    <row r="53" spans="1:10" ht="15" customHeight="1" x14ac:dyDescent="0.2">
      <c r="A53" s="450"/>
      <c r="B53" s="451"/>
      <c r="C53" s="452"/>
      <c r="D53" s="60"/>
      <c r="E53" s="76"/>
      <c r="F53" s="59"/>
      <c r="G53" s="76"/>
      <c r="H53" s="77"/>
      <c r="I53" s="76"/>
    </row>
    <row r="54" spans="1:10" ht="15" customHeight="1" thickBot="1" x14ac:dyDescent="0.25">
      <c r="A54" s="462"/>
      <c r="B54" s="463"/>
      <c r="C54" s="464"/>
      <c r="D54" s="78"/>
      <c r="E54" s="79"/>
      <c r="F54" s="59"/>
      <c r="G54" s="79"/>
      <c r="H54" s="77"/>
      <c r="I54" s="79"/>
    </row>
    <row r="55" spans="1:10" ht="15" customHeight="1" thickBot="1" x14ac:dyDescent="0.25">
      <c r="A55" s="445" t="s">
        <v>35</v>
      </c>
      <c r="B55" s="446"/>
      <c r="C55" s="446"/>
      <c r="D55" s="80"/>
      <c r="E55" s="64">
        <f>SUBTOTAL(9,E45:E54)</f>
        <v>0</v>
      </c>
      <c r="F55" s="65"/>
      <c r="G55" s="64">
        <f>SUBTOTAL(9,G45:G54)</f>
        <v>0</v>
      </c>
      <c r="H55" s="81"/>
      <c r="I55" s="64">
        <f>SUBTOTAL(9,I45:I54)</f>
        <v>0</v>
      </c>
      <c r="J55" s="82">
        <f>SUM(E55,G55,I55)</f>
        <v>0</v>
      </c>
    </row>
    <row r="56" spans="1:10" ht="15" customHeight="1" x14ac:dyDescent="0.2">
      <c r="A56" s="66"/>
      <c r="B56" s="66"/>
      <c r="C56" s="66"/>
      <c r="D56" s="66"/>
      <c r="E56" s="66"/>
      <c r="F56" s="66"/>
      <c r="G56" s="66"/>
      <c r="H56" s="66"/>
      <c r="I56" s="66"/>
    </row>
    <row r="57" spans="1:10" ht="15" customHeight="1" thickBot="1" x14ac:dyDescent="0.25">
      <c r="A57" s="46"/>
      <c r="B57" s="46"/>
      <c r="C57" s="46"/>
      <c r="D57" s="46"/>
      <c r="E57" s="46"/>
      <c r="F57" s="46"/>
      <c r="G57" s="46"/>
      <c r="H57" s="46"/>
      <c r="I57" s="46"/>
    </row>
    <row r="58" spans="1:10" ht="15" customHeight="1" thickBot="1" x14ac:dyDescent="0.25">
      <c r="A58" s="445" t="s">
        <v>38</v>
      </c>
      <c r="B58" s="446"/>
      <c r="C58" s="455"/>
      <c r="D58" s="460" t="s">
        <v>26</v>
      </c>
      <c r="E58" s="461"/>
      <c r="F58" s="460" t="s">
        <v>27</v>
      </c>
      <c r="G58" s="461"/>
      <c r="H58" s="460" t="s">
        <v>28</v>
      </c>
      <c r="I58" s="461"/>
    </row>
    <row r="59" spans="1:10" ht="30" customHeight="1" x14ac:dyDescent="0.2">
      <c r="A59" s="447" t="s">
        <v>33</v>
      </c>
      <c r="B59" s="448"/>
      <c r="C59" s="449"/>
      <c r="D59" s="72"/>
      <c r="E59" s="73" t="s">
        <v>15</v>
      </c>
      <c r="F59" s="75"/>
      <c r="G59" s="73" t="s">
        <v>15</v>
      </c>
      <c r="H59" s="75"/>
      <c r="I59" s="73" t="s">
        <v>15</v>
      </c>
    </row>
    <row r="60" spans="1:10" ht="15" customHeight="1" x14ac:dyDescent="0.2">
      <c r="A60" s="450"/>
      <c r="B60" s="451"/>
      <c r="C60" s="452"/>
      <c r="D60" s="60"/>
      <c r="E60" s="76"/>
      <c r="F60" s="77"/>
      <c r="G60" s="76"/>
      <c r="H60" s="77"/>
      <c r="I60" s="76"/>
    </row>
    <row r="61" spans="1:10" ht="15" customHeight="1" x14ac:dyDescent="0.2">
      <c r="A61" s="450"/>
      <c r="B61" s="451"/>
      <c r="C61" s="452"/>
      <c r="D61" s="60"/>
      <c r="E61" s="76"/>
      <c r="F61" s="77"/>
      <c r="G61" s="76"/>
      <c r="H61" s="77"/>
      <c r="I61" s="76"/>
    </row>
    <row r="62" spans="1:10" ht="15" customHeight="1" x14ac:dyDescent="0.2">
      <c r="A62" s="450"/>
      <c r="B62" s="451"/>
      <c r="C62" s="452"/>
      <c r="D62" s="60"/>
      <c r="E62" s="76"/>
      <c r="F62" s="77"/>
      <c r="G62" s="76"/>
      <c r="H62" s="77"/>
      <c r="I62" s="76"/>
    </row>
    <row r="63" spans="1:10" ht="15" customHeight="1" x14ac:dyDescent="0.2">
      <c r="A63" s="450"/>
      <c r="B63" s="451"/>
      <c r="C63" s="452"/>
      <c r="D63" s="60"/>
      <c r="E63" s="76"/>
      <c r="F63" s="77"/>
      <c r="G63" s="76"/>
      <c r="H63" s="77"/>
      <c r="I63" s="76"/>
    </row>
    <row r="64" spans="1:10" ht="15" customHeight="1" x14ac:dyDescent="0.2">
      <c r="A64" s="450"/>
      <c r="B64" s="451"/>
      <c r="C64" s="452"/>
      <c r="D64" s="60"/>
      <c r="E64" s="76"/>
      <c r="F64" s="77"/>
      <c r="G64" s="76"/>
      <c r="H64" s="77"/>
      <c r="I64" s="76"/>
    </row>
    <row r="65" spans="1:11" ht="15" customHeight="1" x14ac:dyDescent="0.2">
      <c r="A65" s="450"/>
      <c r="B65" s="451"/>
      <c r="C65" s="452"/>
      <c r="D65" s="60"/>
      <c r="E65" s="76"/>
      <c r="F65" s="77"/>
      <c r="G65" s="76"/>
      <c r="H65" s="77"/>
      <c r="I65" s="76"/>
    </row>
    <row r="66" spans="1:11" ht="15" customHeight="1" x14ac:dyDescent="0.2">
      <c r="A66" s="450"/>
      <c r="B66" s="451"/>
      <c r="C66" s="452"/>
      <c r="D66" s="60"/>
      <c r="E66" s="76"/>
      <c r="F66" s="77"/>
      <c r="G66" s="76"/>
      <c r="H66" s="77"/>
      <c r="I66" s="76"/>
    </row>
    <row r="67" spans="1:11" ht="15" customHeight="1" x14ac:dyDescent="0.2">
      <c r="A67" s="450"/>
      <c r="B67" s="451"/>
      <c r="C67" s="452"/>
      <c r="D67" s="60"/>
      <c r="E67" s="76"/>
      <c r="F67" s="77"/>
      <c r="G67" s="76"/>
      <c r="H67" s="77"/>
      <c r="I67" s="76"/>
    </row>
    <row r="68" spans="1:11" ht="15" customHeight="1" x14ac:dyDescent="0.2">
      <c r="A68" s="450"/>
      <c r="B68" s="451"/>
      <c r="C68" s="452"/>
      <c r="D68" s="60"/>
      <c r="E68" s="76"/>
      <c r="F68" s="77"/>
      <c r="G68" s="76"/>
      <c r="H68" s="77"/>
      <c r="I68" s="76"/>
    </row>
    <row r="69" spans="1:11" ht="15" customHeight="1" thickBot="1" x14ac:dyDescent="0.25">
      <c r="A69" s="462"/>
      <c r="B69" s="463"/>
      <c r="C69" s="464"/>
      <c r="D69" s="78"/>
      <c r="E69" s="79"/>
      <c r="F69" s="77"/>
      <c r="G69" s="79"/>
      <c r="H69" s="77"/>
      <c r="I69" s="79"/>
    </row>
    <row r="70" spans="1:11" ht="15" customHeight="1" thickBot="1" x14ac:dyDescent="0.25">
      <c r="A70" s="445" t="s">
        <v>39</v>
      </c>
      <c r="B70" s="446"/>
      <c r="C70" s="446"/>
      <c r="D70" s="80"/>
      <c r="E70" s="64">
        <f>SUBTOTAL(9,E60:E69)</f>
        <v>0</v>
      </c>
      <c r="F70" s="81"/>
      <c r="G70" s="64">
        <f>SUBTOTAL(9,G60:G69)</f>
        <v>0</v>
      </c>
      <c r="H70" s="81"/>
      <c r="I70" s="64">
        <f>SUBTOTAL(9,I60:I69)</f>
        <v>0</v>
      </c>
    </row>
    <row r="71" spans="1:11" ht="15" customHeight="1" x14ac:dyDescent="0.2">
      <c r="A71" s="66"/>
      <c r="B71" s="66"/>
      <c r="C71" s="66"/>
      <c r="D71" s="66"/>
      <c r="E71" s="66"/>
      <c r="F71" s="66"/>
      <c r="G71" s="66"/>
      <c r="H71" s="66"/>
      <c r="I71" s="66"/>
    </row>
    <row r="72" spans="1:11" ht="15" customHeight="1" thickBot="1" x14ac:dyDescent="0.25">
      <c r="A72" s="46"/>
      <c r="B72" s="46"/>
      <c r="C72" s="46"/>
      <c r="D72" s="46"/>
      <c r="E72" s="46"/>
      <c r="F72" s="46"/>
      <c r="G72" s="46"/>
      <c r="H72" s="46"/>
      <c r="I72" s="46"/>
      <c r="J72" s="46"/>
    </row>
    <row r="73" spans="1:11" ht="15" customHeight="1" thickBot="1" x14ac:dyDescent="0.25">
      <c r="A73" s="447" t="s">
        <v>107</v>
      </c>
      <c r="B73" s="448"/>
      <c r="C73" s="449"/>
      <c r="D73" s="460" t="s">
        <v>26</v>
      </c>
      <c r="E73" s="461"/>
      <c r="F73" s="460" t="s">
        <v>27</v>
      </c>
      <c r="G73" s="461"/>
      <c r="H73" s="460" t="s">
        <v>28</v>
      </c>
      <c r="I73" s="461"/>
      <c r="J73" s="83" t="s">
        <v>41</v>
      </c>
      <c r="K73" s="47"/>
    </row>
    <row r="74" spans="1:11" ht="15" customHeight="1" thickBot="1" x14ac:dyDescent="0.25">
      <c r="A74" s="441" t="s">
        <v>40</v>
      </c>
      <c r="B74" s="442"/>
      <c r="C74" s="442"/>
      <c r="D74" s="72"/>
      <c r="E74" s="84">
        <f>ROUNDDOWN(SUBTOTAL(9,E13:E70),0)</f>
        <v>0</v>
      </c>
      <c r="F74" s="59"/>
      <c r="G74" s="84">
        <f>ROUNDDOWN(SUBTOTAL(9,G13:G70),0)</f>
        <v>0</v>
      </c>
      <c r="H74" s="59"/>
      <c r="I74" s="84">
        <f>ROUNDDOWN(SUBTOTAL(9,I13:I70),0)</f>
        <v>0</v>
      </c>
      <c r="J74" s="82">
        <f>SUM(E74,G74,I74)</f>
        <v>0</v>
      </c>
      <c r="K74" s="47"/>
    </row>
    <row r="75" spans="1:11" ht="15" customHeight="1" thickBot="1" x14ac:dyDescent="0.25">
      <c r="A75" s="441" t="s">
        <v>42</v>
      </c>
      <c r="B75" s="442"/>
      <c r="C75" s="442"/>
      <c r="D75" s="60"/>
      <c r="E75" s="13" cm="1">
        <f t="array" aca="1" ref="E75" ca="1">_xlfn.XLOOKUP(Var_Sub.instr.&amp;" # "&amp;_xlfn.XLOOKUP($A$5,Table_LuT_Deelnemers[ID Deelnemer],Table_LuT_Deelnemers[TO]),Table_Max_Subsidie_HTSM[Sub.instr. '# TO],Table_Max_Subsidie_HTSM[FO],"&lt;Not in LuT&gt;",0,1)</f>
        <v>0</v>
      </c>
      <c r="F75" s="59"/>
      <c r="G75" s="13" cm="1">
        <f t="array" aca="1" ref="G75" ca="1">_xlfn.XLOOKUP(Var_Sub.instr.&amp;" # "&amp;_xlfn.XLOOKUP($A$5,Table_LuT_Deelnemers[ID Deelnemer],Table_LuT_Deelnemers[TO]),Table_Max_Subsidie_HTSM[Sub.instr. '# TO],Table_Max_Subsidie_HTSM[IO],"&lt;Not in LuT&gt;",0,1)</f>
        <v>0</v>
      </c>
      <c r="H75" s="59"/>
      <c r="I75" s="13" cm="1">
        <f t="array" aca="1" ref="I75" ca="1">_xlfn.XLOOKUP(Var_Sub.instr.&amp;" # "&amp;_xlfn.XLOOKUP($A$5,Table_LuT_Deelnemers[ID Deelnemer],Table_LuT_Deelnemers[TO]),Table_Max_Subsidie_HTSM[Sub.instr. '# TO],Table_Max_Subsidie_HTSM[EO],"&lt;Not in LuT&gt;",0,1)</f>
        <v>0</v>
      </c>
      <c r="J75" s="85"/>
      <c r="K75" s="47"/>
    </row>
    <row r="76" spans="1:11" ht="15" customHeight="1" thickBot="1" x14ac:dyDescent="0.25">
      <c r="A76" s="443" t="s">
        <v>56</v>
      </c>
      <c r="B76" s="444"/>
      <c r="C76" s="444"/>
      <c r="D76" s="63"/>
      <c r="E76" s="86" cm="1">
        <f t="array" aca="1" ref="E76" ca="1">_xlfn.LET(_xlpm.maxsub_aux,ROUNDDOWN(E75*Kosten_FO,0),IF(Var_Sub.instr.="MKB",IF(Type_Organisatie="MKB",MIN(_xlpm.maxsub_aux,Var_MaxSub_MKB_call_MKB),MIN(_xlpm.maxsub_aux,Var_MaxSub_MKB_call_OO)),_xlpm.maxsub_aux))</f>
        <v>0</v>
      </c>
      <c r="F76" s="62"/>
      <c r="G76" s="86" cm="1">
        <f t="array" aca="1" ref="G76" ca="1">_xlfn.LET(_xlpm.maxsub_aux,ROUNDDOWN(G75*Kosten_IO,0),IF(Var_Sub.instr.="MKB",IF(Type_Organisatie="MKB",MIN(_xlpm.maxsub_aux,Var_MaxSub_MKB_call_MKB),MIN(_xlpm.maxsub_aux,Var_MaxSub_MKB_call_OO)),_xlpm.maxsub_aux))</f>
        <v>0</v>
      </c>
      <c r="H76" s="62"/>
      <c r="I76" s="86" cm="1">
        <f t="array" aca="1" ref="I76" ca="1">_xlfn.LET(_xlpm.maxsub_aux,ROUNDDOWN(I75*Kosten_EO,0),IF(Var_Sub.instr.="MKB",IF(Type_Organisatie="MKB",MIN(_xlpm.maxsub_aux,Var_MaxSub_MKB_call_MKB),MIN(_xlpm.maxsub_aux,Var_MaxSub_MKB_call_OO)),_xlpm.maxsub_aux))</f>
        <v>0</v>
      </c>
      <c r="J76" s="87">
        <f ca="1">SUM(E76,G76,I76)</f>
        <v>0</v>
      </c>
      <c r="K76" s="47"/>
    </row>
  </sheetData>
  <sheetProtection algorithmName="SHA-512" hashValue="zZPs6xLH8OX7ok2tpqlT3Z3F8m3fIguZaG56rC6k1ZUE8F0wMHKjM7uK+cMBSbvifXK3QMY8qwlcVAj/WzQTqw==" saltValue="vv6ROSkZAA5ANpY/Eq1DpA==" spinCount="100000" sheet="1" objects="1" scenarios="1" selectLockedCells="1"/>
  <mergeCells count="63">
    <mergeCell ref="H28:I28"/>
    <mergeCell ref="B9:C9"/>
    <mergeCell ref="A11:C11"/>
    <mergeCell ref="D11:E11"/>
    <mergeCell ref="F11:G11"/>
    <mergeCell ref="H11:I11"/>
    <mergeCell ref="A23:C23"/>
    <mergeCell ref="A24:C24"/>
    <mergeCell ref="A25:C25"/>
    <mergeCell ref="A28:C28"/>
    <mergeCell ref="D28:E28"/>
    <mergeCell ref="F28:G28"/>
    <mergeCell ref="A40:C40"/>
    <mergeCell ref="A29:B29"/>
    <mergeCell ref="A30:B30"/>
    <mergeCell ref="A31:B31"/>
    <mergeCell ref="A32:B32"/>
    <mergeCell ref="A33:B33"/>
    <mergeCell ref="A34:B34"/>
    <mergeCell ref="A35:B35"/>
    <mergeCell ref="A36:B36"/>
    <mergeCell ref="A37:B37"/>
    <mergeCell ref="A38:B38"/>
    <mergeCell ref="A39:B39"/>
    <mergeCell ref="A51:C51"/>
    <mergeCell ref="A43:C43"/>
    <mergeCell ref="D43:E43"/>
    <mergeCell ref="F43:G43"/>
    <mergeCell ref="H43:I43"/>
    <mergeCell ref="A44:C44"/>
    <mergeCell ref="A45:C45"/>
    <mergeCell ref="A46:C46"/>
    <mergeCell ref="A47:C47"/>
    <mergeCell ref="A48:C48"/>
    <mergeCell ref="A49:C49"/>
    <mergeCell ref="A50:C50"/>
    <mergeCell ref="A62:C62"/>
    <mergeCell ref="A52:C52"/>
    <mergeCell ref="A53:C53"/>
    <mergeCell ref="A54:C54"/>
    <mergeCell ref="A55:C55"/>
    <mergeCell ref="A58:C58"/>
    <mergeCell ref="F58:G58"/>
    <mergeCell ref="H58:I58"/>
    <mergeCell ref="A59:C59"/>
    <mergeCell ref="A60:C60"/>
    <mergeCell ref="A61:C61"/>
    <mergeCell ref="D58:E58"/>
    <mergeCell ref="D73:E73"/>
    <mergeCell ref="F73:G73"/>
    <mergeCell ref="H73:I73"/>
    <mergeCell ref="A63:C63"/>
    <mergeCell ref="A64:C64"/>
    <mergeCell ref="A65:C65"/>
    <mergeCell ref="A66:C66"/>
    <mergeCell ref="A67:C67"/>
    <mergeCell ref="A68:C68"/>
    <mergeCell ref="A74:C74"/>
    <mergeCell ref="A75:C75"/>
    <mergeCell ref="A76:C76"/>
    <mergeCell ref="A69:C69"/>
    <mergeCell ref="A70:C70"/>
    <mergeCell ref="A73:C73"/>
  </mergeCells>
  <dataValidations count="1">
    <dataValidation type="list" allowBlank="1" showInputMessage="1" showErrorMessage="1" sqref="B9" xr:uid="{D8B12057-807B-471B-8523-60C348BDD310}">
      <formula1>ValList_Kostensystematiek</formula1>
    </dataValidation>
  </dataValidations>
  <printOptions gridLines="1"/>
  <pageMargins left="0.74803149606299213" right="0.74803149606299213" top="0.98425196850393704" bottom="0.98425196850393704" header="0.51181102362204722" footer="0.51181102362204722"/>
  <pageSetup paperSize="9" scale="44" orientation="portrait" horizontalDpi="4294967292" verticalDpi="300" r:id="rId1"/>
  <headerFooter alignWithMargins="0">
    <oddFooter>&amp;L&amp;8Erna Olislaegers
&amp;D at &amp;T&amp;C&amp;8&amp;P/&amp;N&amp;R&amp;8File: &amp;F
Sheet: &amp;A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A719D1EFE4D641B505E5FB8DEAE5B7" ma:contentTypeVersion="18" ma:contentTypeDescription="Create a new document." ma:contentTypeScope="" ma:versionID="c23bf6f6adbfe8947cd88a30555a9b71">
  <xsd:schema xmlns:xsd="http://www.w3.org/2001/XMLSchema" xmlns:xs="http://www.w3.org/2001/XMLSchema" xmlns:p="http://schemas.microsoft.com/office/2006/metadata/properties" xmlns:ns2="639148dd-43b1-421a-83d7-9bff6363538a" xmlns:ns3="fb3f914e-2e26-4eff-adb8-c827226d343b" targetNamespace="http://schemas.microsoft.com/office/2006/metadata/properties" ma:root="true" ma:fieldsID="3afd08e134fb20b782493c01b6dcdc31" ns2:_="" ns3:_="">
    <xsd:import namespace="639148dd-43b1-421a-83d7-9bff6363538a"/>
    <xsd:import namespace="fb3f914e-2e26-4eff-adb8-c827226d34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9148dd-43b1-421a-83d7-9bff6363538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77f0de0-8d00-4740-846c-c3fbe3c7f18e}" ma:internalName="TaxCatchAll" ma:showField="CatchAllData" ma:web="639148dd-43b1-421a-83d7-9bff6363538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3f914e-2e26-4eff-adb8-c827226d34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bbda61b-cbc7-4bd8-bdb8-164436f0bb2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3f914e-2e26-4eff-adb8-c827226d343b">
      <Terms xmlns="http://schemas.microsoft.com/office/infopath/2007/PartnerControls"/>
    </lcf76f155ced4ddcb4097134ff3c332f>
    <TaxCatchAll xmlns="639148dd-43b1-421a-83d7-9bff6363538a" xsi:nil="true"/>
  </documentManagement>
</p:properties>
</file>

<file path=customXml/itemProps1.xml><?xml version="1.0" encoding="utf-8"?>
<ds:datastoreItem xmlns:ds="http://schemas.openxmlformats.org/officeDocument/2006/customXml" ds:itemID="{54DA4E48-4B3D-42C2-B508-5D9954166BBD}">
  <ds:schemaRefs>
    <ds:schemaRef ds:uri="http://schemas.microsoft.com/sharepoint/v3/contenttype/forms"/>
  </ds:schemaRefs>
</ds:datastoreItem>
</file>

<file path=customXml/itemProps2.xml><?xml version="1.0" encoding="utf-8"?>
<ds:datastoreItem xmlns:ds="http://schemas.openxmlformats.org/officeDocument/2006/customXml" ds:itemID="{C46BF4A3-F9D8-4ED1-AE95-645D5E6166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9148dd-43b1-421a-83d7-9bff6363538a"/>
    <ds:schemaRef ds:uri="fb3f914e-2e26-4eff-adb8-c827226d34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052333-415F-4421-BE91-274119E382DF}">
  <ds:schemaRefs>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2006/documentManagement/types"/>
    <ds:schemaRef ds:uri="http://schemas.microsoft.com/office/infopath/2007/PartnerControls"/>
    <ds:schemaRef ds:uri="fb3f914e-2e26-4eff-adb8-c827226d343b"/>
    <ds:schemaRef ds:uri="639148dd-43b1-421a-83d7-9bff6363538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670</vt:i4>
      </vt:variant>
    </vt:vector>
  </HeadingPairs>
  <TitlesOfParts>
    <vt:vector size="700" baseType="lpstr">
      <vt:lpstr>Begrotingen</vt:lpstr>
      <vt:lpstr>Portal Checks</vt:lpstr>
      <vt:lpstr>Basisgegevens Aanvraag</vt:lpstr>
      <vt:lpstr>Begroting Kosten + Financiering</vt:lpstr>
      <vt:lpstr>Deelnemer 1 - Penvoerder</vt:lpstr>
      <vt:lpstr>Deelnemer 2</vt:lpstr>
      <vt:lpstr>Deelnemer 3</vt:lpstr>
      <vt:lpstr>Deelnemer 4</vt:lpstr>
      <vt:lpstr>Deelnemer 5</vt:lpstr>
      <vt:lpstr>Deelnemer 6</vt:lpstr>
      <vt:lpstr>Deelnemer 7</vt:lpstr>
      <vt:lpstr>Deelnemer 8</vt:lpstr>
      <vt:lpstr>Deelnemer 9</vt:lpstr>
      <vt:lpstr>Deelnemer 10</vt:lpstr>
      <vt:lpstr>Deelnemer 11</vt:lpstr>
      <vt:lpstr>Deelnemer 12</vt:lpstr>
      <vt:lpstr>Deelnemer 13</vt:lpstr>
      <vt:lpstr>Deelnemer 14</vt:lpstr>
      <vt:lpstr>Deelnemer 15</vt:lpstr>
      <vt:lpstr>Deelnemer 16</vt:lpstr>
      <vt:lpstr>Deelnemer 17</vt:lpstr>
      <vt:lpstr>Deelnemer 18</vt:lpstr>
      <vt:lpstr>Deelnemer 19</vt:lpstr>
      <vt:lpstr>Deelnemer 20</vt:lpstr>
      <vt:lpstr>Specificatie Apparatuur</vt:lpstr>
      <vt:lpstr>LuT Foutmeldingen</vt:lpstr>
      <vt:lpstr>LuT Deelnemers</vt:lpstr>
      <vt:lpstr>LuT Begroting Deelnemers</vt:lpstr>
      <vt:lpstr>LuT Subsidie- en Co-funding %</vt:lpstr>
      <vt:lpstr>Validation Lists</vt:lpstr>
      <vt:lpstr>Cash_DN1</vt:lpstr>
      <vt:lpstr>Cash_DN10</vt:lpstr>
      <vt:lpstr>Cash_DN11</vt:lpstr>
      <vt:lpstr>Cash_DN12</vt:lpstr>
      <vt:lpstr>Cash_DN13</vt:lpstr>
      <vt:lpstr>Cash_DN14</vt:lpstr>
      <vt:lpstr>Cash_DN15</vt:lpstr>
      <vt:lpstr>Cash_DN16</vt:lpstr>
      <vt:lpstr>Cash_DN17</vt:lpstr>
      <vt:lpstr>Cash_DN18</vt:lpstr>
      <vt:lpstr>Cash_DN19</vt:lpstr>
      <vt:lpstr>Cash_DN2</vt:lpstr>
      <vt:lpstr>Cash_DN20</vt:lpstr>
      <vt:lpstr>Cash_DN3</vt:lpstr>
      <vt:lpstr>Cash_DN4</vt:lpstr>
      <vt:lpstr>Cash_DN5</vt:lpstr>
      <vt:lpstr>Cash_DN6</vt:lpstr>
      <vt:lpstr>Cash_DN7</vt:lpstr>
      <vt:lpstr>Cash_DN8</vt:lpstr>
      <vt:lpstr>Cash_DN9</vt:lpstr>
      <vt:lpstr>Cash_Ontvangen_DN1</vt:lpstr>
      <vt:lpstr>Cash_Ontvangen_DN10</vt:lpstr>
      <vt:lpstr>Cash_Ontvangen_DN11</vt:lpstr>
      <vt:lpstr>Cash_Ontvangen_DN12</vt:lpstr>
      <vt:lpstr>Cash_Ontvangen_DN13</vt:lpstr>
      <vt:lpstr>Cash_Ontvangen_DN14</vt:lpstr>
      <vt:lpstr>Cash_Ontvangen_DN15</vt:lpstr>
      <vt:lpstr>Cash_Ontvangen_DN16</vt:lpstr>
      <vt:lpstr>Cash_Ontvangen_DN17</vt:lpstr>
      <vt:lpstr>Cash_Ontvangen_DN18</vt:lpstr>
      <vt:lpstr>Cash_Ontvangen_DN19</vt:lpstr>
      <vt:lpstr>Cash_Ontvangen_DN2</vt:lpstr>
      <vt:lpstr>Cash_Ontvangen_DN20</vt:lpstr>
      <vt:lpstr>Cash_Ontvangen_DN3</vt:lpstr>
      <vt:lpstr>Cash_Ontvangen_DN4</vt:lpstr>
      <vt:lpstr>Cash_Ontvangen_DN5</vt:lpstr>
      <vt:lpstr>Cash_Ontvangen_DN6</vt:lpstr>
      <vt:lpstr>Cash_Ontvangen_DN7</vt:lpstr>
      <vt:lpstr>Cash_Ontvangen_DN8</vt:lpstr>
      <vt:lpstr>Cash_Ontvangen_DN9</vt:lpstr>
      <vt:lpstr>Cash_Ontvangen_Tot</vt:lpstr>
      <vt:lpstr>Cash_Tot</vt:lpstr>
      <vt:lpstr>'Deelnemer 1 - Penvoerder'!Check_Vaste_uurtarief</vt:lpstr>
      <vt:lpstr>'Deelnemer 10'!Check_Vaste_uurtarief</vt:lpstr>
      <vt:lpstr>'Deelnemer 11'!Check_Vaste_uurtarief</vt:lpstr>
      <vt:lpstr>'Deelnemer 12'!Check_Vaste_uurtarief</vt:lpstr>
      <vt:lpstr>'Deelnemer 13'!Check_Vaste_uurtarief</vt:lpstr>
      <vt:lpstr>'Deelnemer 14'!Check_Vaste_uurtarief</vt:lpstr>
      <vt:lpstr>'Deelnemer 15'!Check_Vaste_uurtarief</vt:lpstr>
      <vt:lpstr>'Deelnemer 16'!Check_Vaste_uurtarief</vt:lpstr>
      <vt:lpstr>'Deelnemer 17'!Check_Vaste_uurtarief</vt:lpstr>
      <vt:lpstr>'Deelnemer 18'!Check_Vaste_uurtarief</vt:lpstr>
      <vt:lpstr>'Deelnemer 19'!Check_Vaste_uurtarief</vt:lpstr>
      <vt:lpstr>'Deelnemer 2'!Check_Vaste_uurtarief</vt:lpstr>
      <vt:lpstr>'Deelnemer 20'!Check_Vaste_uurtarief</vt:lpstr>
      <vt:lpstr>'Deelnemer 3'!Check_Vaste_uurtarief</vt:lpstr>
      <vt:lpstr>'Deelnemer 4'!Check_Vaste_uurtarief</vt:lpstr>
      <vt:lpstr>'Deelnemer 5'!Check_Vaste_uurtarief</vt:lpstr>
      <vt:lpstr>'Deelnemer 6'!Check_Vaste_uurtarief</vt:lpstr>
      <vt:lpstr>'Deelnemer 7'!Check_Vaste_uurtarief</vt:lpstr>
      <vt:lpstr>'Deelnemer 8'!Check_Vaste_uurtarief</vt:lpstr>
      <vt:lpstr>'Deelnemer 9'!Check_Vaste_uurtarief</vt:lpstr>
      <vt:lpstr>Deelnemer_1</vt:lpstr>
      <vt:lpstr>Deelnemer_10</vt:lpstr>
      <vt:lpstr>Deelnemer_11</vt:lpstr>
      <vt:lpstr>Deelnemer_12</vt:lpstr>
      <vt:lpstr>Deelnemer_13</vt:lpstr>
      <vt:lpstr>Deelnemer_14</vt:lpstr>
      <vt:lpstr>Deelnemer_15</vt:lpstr>
      <vt:lpstr>Deelnemer_16</vt:lpstr>
      <vt:lpstr>Deelnemer_17</vt:lpstr>
      <vt:lpstr>Deelnemer_18</vt:lpstr>
      <vt:lpstr>Deelnemer_19</vt:lpstr>
      <vt:lpstr>Deelnemer_2</vt:lpstr>
      <vt:lpstr>Deelnemer_20</vt:lpstr>
      <vt:lpstr>Deelnemer_3</vt:lpstr>
      <vt:lpstr>Deelnemer_4</vt:lpstr>
      <vt:lpstr>Deelnemer_5</vt:lpstr>
      <vt:lpstr>Deelnemer_6</vt:lpstr>
      <vt:lpstr>Deelnemer_7</vt:lpstr>
      <vt:lpstr>Deelnemer_8</vt:lpstr>
      <vt:lpstr>Deelnemer_9</vt:lpstr>
      <vt:lpstr>Directe_Loonkosten</vt:lpstr>
      <vt:lpstr>Fin_Tot</vt:lpstr>
      <vt:lpstr>Fin_Tot_DN1</vt:lpstr>
      <vt:lpstr>Fin_Tot_DN10</vt:lpstr>
      <vt:lpstr>Fin_Tot_DN11</vt:lpstr>
      <vt:lpstr>Fin_Tot_DN12</vt:lpstr>
      <vt:lpstr>Fin_Tot_DN13</vt:lpstr>
      <vt:lpstr>Fin_Tot_DN14</vt:lpstr>
      <vt:lpstr>Fin_Tot_DN15</vt:lpstr>
      <vt:lpstr>Fin_Tot_DN16</vt:lpstr>
      <vt:lpstr>Fin_Tot_DN17</vt:lpstr>
      <vt:lpstr>Fin_Tot_DN18</vt:lpstr>
      <vt:lpstr>Fin_Tot_DN19</vt:lpstr>
      <vt:lpstr>Fin_Tot_DN2</vt:lpstr>
      <vt:lpstr>Fin_Tot_DN20</vt:lpstr>
      <vt:lpstr>Fin_Tot_DN3</vt:lpstr>
      <vt:lpstr>Fin_Tot_DN4</vt:lpstr>
      <vt:lpstr>Fin_Tot_DN5</vt:lpstr>
      <vt:lpstr>Fin_Tot_DN6</vt:lpstr>
      <vt:lpstr>Fin_Tot_DN7</vt:lpstr>
      <vt:lpstr>Fin_Tot_DN8</vt:lpstr>
      <vt:lpstr>Fin_Tot_DN9</vt:lpstr>
      <vt:lpstr>In_kind_DN1</vt:lpstr>
      <vt:lpstr>In_kind_DN10</vt:lpstr>
      <vt:lpstr>In_kind_DN11</vt:lpstr>
      <vt:lpstr>In_kind_DN12</vt:lpstr>
      <vt:lpstr>In_kind_DN13</vt:lpstr>
      <vt:lpstr>In_kind_DN14</vt:lpstr>
      <vt:lpstr>In_kind_DN15</vt:lpstr>
      <vt:lpstr>In_kind_DN16</vt:lpstr>
      <vt:lpstr>In_kind_DN17</vt:lpstr>
      <vt:lpstr>In_kind_DN18</vt:lpstr>
      <vt:lpstr>In_kind_DN19</vt:lpstr>
      <vt:lpstr>In_kind_DN2</vt:lpstr>
      <vt:lpstr>In_kind_DN20</vt:lpstr>
      <vt:lpstr>In_kind_DN3</vt:lpstr>
      <vt:lpstr>In_kind_DN4</vt:lpstr>
      <vt:lpstr>In_kind_DN5</vt:lpstr>
      <vt:lpstr>In_kind_DN6</vt:lpstr>
      <vt:lpstr>In_kind_DN7</vt:lpstr>
      <vt:lpstr>In_kind_DN8</vt:lpstr>
      <vt:lpstr>In_kind_DN9</vt:lpstr>
      <vt:lpstr>In_kind_Tot</vt:lpstr>
      <vt:lpstr>Integrale_Kosten</vt:lpstr>
      <vt:lpstr>'Deelnemer 1 - Penvoerder'!Kosten_Apparatuur</vt:lpstr>
      <vt:lpstr>'Deelnemer 10'!Kosten_Apparatuur</vt:lpstr>
      <vt:lpstr>'Deelnemer 11'!Kosten_Apparatuur</vt:lpstr>
      <vt:lpstr>'Deelnemer 12'!Kosten_Apparatuur</vt:lpstr>
      <vt:lpstr>'Deelnemer 13'!Kosten_Apparatuur</vt:lpstr>
      <vt:lpstr>'Deelnemer 14'!Kosten_Apparatuur</vt:lpstr>
      <vt:lpstr>'Deelnemer 15'!Kosten_Apparatuur</vt:lpstr>
      <vt:lpstr>'Deelnemer 16'!Kosten_Apparatuur</vt:lpstr>
      <vt:lpstr>'Deelnemer 17'!Kosten_Apparatuur</vt:lpstr>
      <vt:lpstr>'Deelnemer 18'!Kosten_Apparatuur</vt:lpstr>
      <vt:lpstr>'Deelnemer 19'!Kosten_Apparatuur</vt:lpstr>
      <vt:lpstr>'Deelnemer 2'!Kosten_Apparatuur</vt:lpstr>
      <vt:lpstr>'Deelnemer 20'!Kosten_Apparatuur</vt:lpstr>
      <vt:lpstr>'Deelnemer 3'!Kosten_Apparatuur</vt:lpstr>
      <vt:lpstr>'Deelnemer 4'!Kosten_Apparatuur</vt:lpstr>
      <vt:lpstr>'Deelnemer 5'!Kosten_Apparatuur</vt:lpstr>
      <vt:lpstr>'Deelnemer 6'!Kosten_Apparatuur</vt:lpstr>
      <vt:lpstr>'Deelnemer 7'!Kosten_Apparatuur</vt:lpstr>
      <vt:lpstr>'Deelnemer 8'!Kosten_Apparatuur</vt:lpstr>
      <vt:lpstr>'Deelnemer 9'!Kosten_Apparatuur</vt:lpstr>
      <vt:lpstr>'Deelnemer 1 - Penvoerder'!Kosten_EO</vt:lpstr>
      <vt:lpstr>'Deelnemer 10'!Kosten_EO</vt:lpstr>
      <vt:lpstr>'Deelnemer 11'!Kosten_EO</vt:lpstr>
      <vt:lpstr>'Deelnemer 12'!Kosten_EO</vt:lpstr>
      <vt:lpstr>'Deelnemer 13'!Kosten_EO</vt:lpstr>
      <vt:lpstr>'Deelnemer 14'!Kosten_EO</vt:lpstr>
      <vt:lpstr>'Deelnemer 15'!Kosten_EO</vt:lpstr>
      <vt:lpstr>'Deelnemer 16'!Kosten_EO</vt:lpstr>
      <vt:lpstr>'Deelnemer 17'!Kosten_EO</vt:lpstr>
      <vt:lpstr>'Deelnemer 18'!Kosten_EO</vt:lpstr>
      <vt:lpstr>'Deelnemer 19'!Kosten_EO</vt:lpstr>
      <vt:lpstr>'Deelnemer 2'!Kosten_EO</vt:lpstr>
      <vt:lpstr>'Deelnemer 20'!Kosten_EO</vt:lpstr>
      <vt:lpstr>'Deelnemer 3'!Kosten_EO</vt:lpstr>
      <vt:lpstr>'Deelnemer 4'!Kosten_EO</vt:lpstr>
      <vt:lpstr>'Deelnemer 5'!Kosten_EO</vt:lpstr>
      <vt:lpstr>'Deelnemer 6'!Kosten_EO</vt:lpstr>
      <vt:lpstr>'Deelnemer 7'!Kosten_EO</vt:lpstr>
      <vt:lpstr>'Deelnemer 8'!Kosten_EO</vt:lpstr>
      <vt:lpstr>'Deelnemer 9'!Kosten_EO</vt:lpstr>
      <vt:lpstr>'Deelnemer 1 - Penvoerder'!Kosten_FO</vt:lpstr>
      <vt:lpstr>'Deelnemer 10'!Kosten_FO</vt:lpstr>
      <vt:lpstr>'Deelnemer 11'!Kosten_FO</vt:lpstr>
      <vt:lpstr>'Deelnemer 12'!Kosten_FO</vt:lpstr>
      <vt:lpstr>'Deelnemer 13'!Kosten_FO</vt:lpstr>
      <vt:lpstr>'Deelnemer 14'!Kosten_FO</vt:lpstr>
      <vt:lpstr>'Deelnemer 15'!Kosten_FO</vt:lpstr>
      <vt:lpstr>'Deelnemer 16'!Kosten_FO</vt:lpstr>
      <vt:lpstr>'Deelnemer 17'!Kosten_FO</vt:lpstr>
      <vt:lpstr>'Deelnemer 18'!Kosten_FO</vt:lpstr>
      <vt:lpstr>'Deelnemer 19'!Kosten_FO</vt:lpstr>
      <vt:lpstr>'Deelnemer 2'!Kosten_FO</vt:lpstr>
      <vt:lpstr>'Deelnemer 20'!Kosten_FO</vt:lpstr>
      <vt:lpstr>'Deelnemer 3'!Kosten_FO</vt:lpstr>
      <vt:lpstr>'Deelnemer 4'!Kosten_FO</vt:lpstr>
      <vt:lpstr>'Deelnemer 5'!Kosten_FO</vt:lpstr>
      <vt:lpstr>'Deelnemer 6'!Kosten_FO</vt:lpstr>
      <vt:lpstr>'Deelnemer 7'!Kosten_FO</vt:lpstr>
      <vt:lpstr>'Deelnemer 8'!Kosten_FO</vt:lpstr>
      <vt:lpstr>'Deelnemer 9'!Kosten_FO</vt:lpstr>
      <vt:lpstr>'Deelnemer 1 - Penvoerder'!Kosten_IO</vt:lpstr>
      <vt:lpstr>'Deelnemer 10'!Kosten_IO</vt:lpstr>
      <vt:lpstr>'Deelnemer 11'!Kosten_IO</vt:lpstr>
      <vt:lpstr>'Deelnemer 12'!Kosten_IO</vt:lpstr>
      <vt:lpstr>'Deelnemer 13'!Kosten_IO</vt:lpstr>
      <vt:lpstr>'Deelnemer 14'!Kosten_IO</vt:lpstr>
      <vt:lpstr>'Deelnemer 15'!Kosten_IO</vt:lpstr>
      <vt:lpstr>'Deelnemer 16'!Kosten_IO</vt:lpstr>
      <vt:lpstr>'Deelnemer 17'!Kosten_IO</vt:lpstr>
      <vt:lpstr>'Deelnemer 18'!Kosten_IO</vt:lpstr>
      <vt:lpstr>'Deelnemer 19'!Kosten_IO</vt:lpstr>
      <vt:lpstr>'Deelnemer 2'!Kosten_IO</vt:lpstr>
      <vt:lpstr>'Deelnemer 20'!Kosten_IO</vt:lpstr>
      <vt:lpstr>'Deelnemer 3'!Kosten_IO</vt:lpstr>
      <vt:lpstr>'Deelnemer 4'!Kosten_IO</vt:lpstr>
      <vt:lpstr>'Deelnemer 5'!Kosten_IO</vt:lpstr>
      <vt:lpstr>'Deelnemer 6'!Kosten_IO</vt:lpstr>
      <vt:lpstr>'Deelnemer 7'!Kosten_IO</vt:lpstr>
      <vt:lpstr>'Deelnemer 8'!Kosten_IO</vt:lpstr>
      <vt:lpstr>'Deelnemer 9'!Kosten_IO</vt:lpstr>
      <vt:lpstr>'Deelnemer 1 - Penvoerder'!Kosten_Totaal</vt:lpstr>
      <vt:lpstr>'Deelnemer 10'!Kosten_Totaal</vt:lpstr>
      <vt:lpstr>'Deelnemer 11'!Kosten_Totaal</vt:lpstr>
      <vt:lpstr>'Deelnemer 12'!Kosten_Totaal</vt:lpstr>
      <vt:lpstr>'Deelnemer 13'!Kosten_Totaal</vt:lpstr>
      <vt:lpstr>'Deelnemer 14'!Kosten_Totaal</vt:lpstr>
      <vt:lpstr>'Deelnemer 15'!Kosten_Totaal</vt:lpstr>
      <vt:lpstr>'Deelnemer 16'!Kosten_Totaal</vt:lpstr>
      <vt:lpstr>'Deelnemer 17'!Kosten_Totaal</vt:lpstr>
      <vt:lpstr>'Deelnemer 18'!Kosten_Totaal</vt:lpstr>
      <vt:lpstr>'Deelnemer 19'!Kosten_Totaal</vt:lpstr>
      <vt:lpstr>'Deelnemer 2'!Kosten_Totaal</vt:lpstr>
      <vt:lpstr>'Deelnemer 20'!Kosten_Totaal</vt:lpstr>
      <vt:lpstr>'Deelnemer 3'!Kosten_Totaal</vt:lpstr>
      <vt:lpstr>'Deelnemer 4'!Kosten_Totaal</vt:lpstr>
      <vt:lpstr>'Deelnemer 5'!Kosten_Totaal</vt:lpstr>
      <vt:lpstr>'Deelnemer 6'!Kosten_Totaal</vt:lpstr>
      <vt:lpstr>'Deelnemer 7'!Kosten_Totaal</vt:lpstr>
      <vt:lpstr>'Deelnemer 8'!Kosten_Totaal</vt:lpstr>
      <vt:lpstr>'Deelnemer 9'!Kosten_Totaal</vt:lpstr>
      <vt:lpstr>'Deelnemer 1 - Penvoerder'!Kostensystematiek</vt:lpstr>
      <vt:lpstr>'Deelnemer 10'!Kostensystematiek</vt:lpstr>
      <vt:lpstr>'Deelnemer 11'!Kostensystematiek</vt:lpstr>
      <vt:lpstr>'Deelnemer 12'!Kostensystematiek</vt:lpstr>
      <vt:lpstr>'Deelnemer 13'!Kostensystematiek</vt:lpstr>
      <vt:lpstr>'Deelnemer 14'!Kostensystematiek</vt:lpstr>
      <vt:lpstr>'Deelnemer 15'!Kostensystematiek</vt:lpstr>
      <vt:lpstr>'Deelnemer 16'!Kostensystematiek</vt:lpstr>
      <vt:lpstr>'Deelnemer 17'!Kostensystematiek</vt:lpstr>
      <vt:lpstr>'Deelnemer 18'!Kostensystematiek</vt:lpstr>
      <vt:lpstr>'Deelnemer 19'!Kostensystematiek</vt:lpstr>
      <vt:lpstr>'Deelnemer 2'!Kostensystematiek</vt:lpstr>
      <vt:lpstr>'Deelnemer 20'!Kostensystematiek</vt:lpstr>
      <vt:lpstr>'Deelnemer 3'!Kostensystematiek</vt:lpstr>
      <vt:lpstr>'Deelnemer 4'!Kostensystematiek</vt:lpstr>
      <vt:lpstr>'Deelnemer 5'!Kostensystematiek</vt:lpstr>
      <vt:lpstr>'Deelnemer 6'!Kostensystematiek</vt:lpstr>
      <vt:lpstr>'Deelnemer 7'!Kostensystematiek</vt:lpstr>
      <vt:lpstr>'Deelnemer 8'!Kostensystematiek</vt:lpstr>
      <vt:lpstr>'Deelnemer 9'!Kostensystematiek</vt:lpstr>
      <vt:lpstr>Kst_EO_DN1</vt:lpstr>
      <vt:lpstr>Kst_EO_DN10</vt:lpstr>
      <vt:lpstr>Kst_EO_DN11</vt:lpstr>
      <vt:lpstr>Kst_EO_DN12</vt:lpstr>
      <vt:lpstr>Kst_EO_DN13</vt:lpstr>
      <vt:lpstr>Kst_EO_DN14</vt:lpstr>
      <vt:lpstr>Kst_EO_DN15</vt:lpstr>
      <vt:lpstr>Kst_EO_DN16</vt:lpstr>
      <vt:lpstr>Kst_EO_DN17</vt:lpstr>
      <vt:lpstr>Kst_EO_DN18</vt:lpstr>
      <vt:lpstr>Kst_EO_DN19</vt:lpstr>
      <vt:lpstr>Kst_EO_DN2</vt:lpstr>
      <vt:lpstr>Kst_EO_DN20</vt:lpstr>
      <vt:lpstr>Kst_EO_DN3</vt:lpstr>
      <vt:lpstr>Kst_EO_DN4</vt:lpstr>
      <vt:lpstr>Kst_EO_DN5</vt:lpstr>
      <vt:lpstr>Kst_EO_DN6</vt:lpstr>
      <vt:lpstr>Kst_EO_DN7</vt:lpstr>
      <vt:lpstr>Kst_EO_DN8</vt:lpstr>
      <vt:lpstr>Kst_EO_DN9</vt:lpstr>
      <vt:lpstr>Kst_EO_Tot</vt:lpstr>
      <vt:lpstr>Kst_FO_DN1</vt:lpstr>
      <vt:lpstr>Kst_FO_DN10</vt:lpstr>
      <vt:lpstr>Kst_FO_DN11</vt:lpstr>
      <vt:lpstr>Kst_FO_DN12</vt:lpstr>
      <vt:lpstr>Kst_FO_DN13</vt:lpstr>
      <vt:lpstr>Kst_FO_DN14</vt:lpstr>
      <vt:lpstr>Kst_FO_DN15</vt:lpstr>
      <vt:lpstr>Kst_FO_DN16</vt:lpstr>
      <vt:lpstr>Kst_FO_DN17</vt:lpstr>
      <vt:lpstr>Kst_FO_DN18</vt:lpstr>
      <vt:lpstr>Kst_FO_DN19</vt:lpstr>
      <vt:lpstr>Kst_FO_DN2</vt:lpstr>
      <vt:lpstr>Kst_FO_DN20</vt:lpstr>
      <vt:lpstr>Kst_FO_DN3</vt:lpstr>
      <vt:lpstr>Kst_FO_DN4</vt:lpstr>
      <vt:lpstr>Kst_FO_DN5</vt:lpstr>
      <vt:lpstr>Kst_FO_DN6</vt:lpstr>
      <vt:lpstr>Kst_FO_DN7</vt:lpstr>
      <vt:lpstr>Kst_FO_DN8</vt:lpstr>
      <vt:lpstr>Kst_FO_DN9</vt:lpstr>
      <vt:lpstr>Kst_FO_Tot</vt:lpstr>
      <vt:lpstr>Kst_IO_DN1</vt:lpstr>
      <vt:lpstr>Kst_IO_DN10</vt:lpstr>
      <vt:lpstr>Kst_IO_DN11</vt:lpstr>
      <vt:lpstr>Kst_IO_DN12</vt:lpstr>
      <vt:lpstr>Kst_IO_DN13</vt:lpstr>
      <vt:lpstr>Kst_IO_DN14</vt:lpstr>
      <vt:lpstr>Kst_IO_DN15</vt:lpstr>
      <vt:lpstr>Kst_IO_DN16</vt:lpstr>
      <vt:lpstr>Kst_IO_DN17</vt:lpstr>
      <vt:lpstr>Kst_IO_DN18</vt:lpstr>
      <vt:lpstr>Kst_IO_DN19</vt:lpstr>
      <vt:lpstr>Kst_IO_DN2</vt:lpstr>
      <vt:lpstr>Kst_IO_DN20</vt:lpstr>
      <vt:lpstr>Kst_IO_DN3</vt:lpstr>
      <vt:lpstr>Kst_IO_DN4</vt:lpstr>
      <vt:lpstr>Kst_IO_DN5</vt:lpstr>
      <vt:lpstr>Kst_IO_DN6</vt:lpstr>
      <vt:lpstr>Kst_IO_DN7</vt:lpstr>
      <vt:lpstr>Kst_IO_DN8</vt:lpstr>
      <vt:lpstr>Kst_IO_DN9</vt:lpstr>
      <vt:lpstr>Kst_IO_Tot</vt:lpstr>
      <vt:lpstr>Kst_Tot</vt:lpstr>
      <vt:lpstr>Kst_Tot_DN1</vt:lpstr>
      <vt:lpstr>Kst_Tot_DN10</vt:lpstr>
      <vt:lpstr>Kst_Tot_DN11</vt:lpstr>
      <vt:lpstr>Kst_Tot_DN12</vt:lpstr>
      <vt:lpstr>Kst_Tot_DN13</vt:lpstr>
      <vt:lpstr>Kst_Tot_DN14</vt:lpstr>
      <vt:lpstr>Kst_Tot_DN15</vt:lpstr>
      <vt:lpstr>Kst_Tot_DN16</vt:lpstr>
      <vt:lpstr>Kst_Tot_DN17</vt:lpstr>
      <vt:lpstr>Kst_Tot_DN18</vt:lpstr>
      <vt:lpstr>Kst_Tot_DN19</vt:lpstr>
      <vt:lpstr>Kst_Tot_DN2</vt:lpstr>
      <vt:lpstr>Kst_Tot_DN20</vt:lpstr>
      <vt:lpstr>Kst_Tot_DN3</vt:lpstr>
      <vt:lpstr>Kst_Tot_DN4</vt:lpstr>
      <vt:lpstr>Kst_Tot_DN5</vt:lpstr>
      <vt:lpstr>Kst_Tot_DN6</vt:lpstr>
      <vt:lpstr>Kst_Tot_DN7</vt:lpstr>
      <vt:lpstr>Kst_Tot_DN8</vt:lpstr>
      <vt:lpstr>Kst_Tot_DN9</vt:lpstr>
      <vt:lpstr>Max_Sub_DN1</vt:lpstr>
      <vt:lpstr>Max_Sub_DN10</vt:lpstr>
      <vt:lpstr>Max_Sub_DN11</vt:lpstr>
      <vt:lpstr>Max_Sub_DN12</vt:lpstr>
      <vt:lpstr>Max_Sub_DN13</vt:lpstr>
      <vt:lpstr>Max_Sub_DN14</vt:lpstr>
      <vt:lpstr>Max_Sub_DN15</vt:lpstr>
      <vt:lpstr>Max_Sub_DN16</vt:lpstr>
      <vt:lpstr>Max_Sub_DN17</vt:lpstr>
      <vt:lpstr>Max_Sub_DN18</vt:lpstr>
      <vt:lpstr>Max_Sub_DN19</vt:lpstr>
      <vt:lpstr>Max_Sub_DN2</vt:lpstr>
      <vt:lpstr>Max_Sub_DN20</vt:lpstr>
      <vt:lpstr>Max_Sub_DN3</vt:lpstr>
      <vt:lpstr>Max_Sub_DN4</vt:lpstr>
      <vt:lpstr>Max_Sub_DN5</vt:lpstr>
      <vt:lpstr>Max_Sub_DN6</vt:lpstr>
      <vt:lpstr>Max_Sub_DN7</vt:lpstr>
      <vt:lpstr>Max_Sub_DN8</vt:lpstr>
      <vt:lpstr>Max_Sub_DN9</vt:lpstr>
      <vt:lpstr>Max_Sub_EO_DN1</vt:lpstr>
      <vt:lpstr>Max_Sub_EO_DN10</vt:lpstr>
      <vt:lpstr>Max_Sub_EO_DN11</vt:lpstr>
      <vt:lpstr>Max_Sub_EO_DN12</vt:lpstr>
      <vt:lpstr>Max_Sub_EO_DN13</vt:lpstr>
      <vt:lpstr>Max_Sub_EO_DN14</vt:lpstr>
      <vt:lpstr>Max_Sub_EO_DN15</vt:lpstr>
      <vt:lpstr>Max_Sub_EO_DN16</vt:lpstr>
      <vt:lpstr>Max_Sub_EO_DN17</vt:lpstr>
      <vt:lpstr>Max_Sub_EO_DN18</vt:lpstr>
      <vt:lpstr>Max_Sub_EO_DN19</vt:lpstr>
      <vt:lpstr>Max_Sub_EO_DN2</vt:lpstr>
      <vt:lpstr>Max_Sub_EO_DN20</vt:lpstr>
      <vt:lpstr>Max_Sub_EO_DN3</vt:lpstr>
      <vt:lpstr>Max_Sub_EO_DN4</vt:lpstr>
      <vt:lpstr>Max_Sub_EO_DN5</vt:lpstr>
      <vt:lpstr>Max_Sub_EO_DN6</vt:lpstr>
      <vt:lpstr>Max_Sub_EO_DN7</vt:lpstr>
      <vt:lpstr>Max_Sub_EO_DN8</vt:lpstr>
      <vt:lpstr>Max_Sub_EO_DN9</vt:lpstr>
      <vt:lpstr>Max_Sub_EO_Tot</vt:lpstr>
      <vt:lpstr>Max_Sub_FO_DN1</vt:lpstr>
      <vt:lpstr>Max_Sub_FO_DN10</vt:lpstr>
      <vt:lpstr>Max_Sub_FO_DN11</vt:lpstr>
      <vt:lpstr>Max_Sub_FO_DN12</vt:lpstr>
      <vt:lpstr>Max_Sub_FO_DN13</vt:lpstr>
      <vt:lpstr>Max_Sub_FO_DN14</vt:lpstr>
      <vt:lpstr>Max_Sub_FO_DN15</vt:lpstr>
      <vt:lpstr>Max_Sub_FO_DN16</vt:lpstr>
      <vt:lpstr>Max_Sub_FO_DN17</vt:lpstr>
      <vt:lpstr>Max_Sub_FO_DN18</vt:lpstr>
      <vt:lpstr>Max_Sub_FO_DN19</vt:lpstr>
      <vt:lpstr>Max_Sub_FO_DN2</vt:lpstr>
      <vt:lpstr>Max_Sub_FO_DN20</vt:lpstr>
      <vt:lpstr>Max_Sub_FO_DN3</vt:lpstr>
      <vt:lpstr>Max_Sub_FO_DN4</vt:lpstr>
      <vt:lpstr>Max_Sub_FO_DN5</vt:lpstr>
      <vt:lpstr>Max_Sub_FO_DN6</vt:lpstr>
      <vt:lpstr>Max_Sub_FO_DN7</vt:lpstr>
      <vt:lpstr>Max_Sub_FO_DN8</vt:lpstr>
      <vt:lpstr>Max_Sub_FO_DN9</vt:lpstr>
      <vt:lpstr>Max_Sub_FO_Tot</vt:lpstr>
      <vt:lpstr>Max_Sub_IO_DN1</vt:lpstr>
      <vt:lpstr>Max_Sub_IO_DN10</vt:lpstr>
      <vt:lpstr>Max_Sub_IO_DN11</vt:lpstr>
      <vt:lpstr>Max_Sub_IO_DN12</vt:lpstr>
      <vt:lpstr>Max_Sub_IO_DN13</vt:lpstr>
      <vt:lpstr>Max_Sub_IO_DN14</vt:lpstr>
      <vt:lpstr>Max_Sub_IO_DN15</vt:lpstr>
      <vt:lpstr>Max_Sub_IO_DN16</vt:lpstr>
      <vt:lpstr>Max_Sub_IO_DN17</vt:lpstr>
      <vt:lpstr>Max_Sub_IO_DN18</vt:lpstr>
      <vt:lpstr>Max_Sub_IO_DN19</vt:lpstr>
      <vt:lpstr>Max_Sub_IO_DN2</vt:lpstr>
      <vt:lpstr>Max_Sub_IO_DN20</vt:lpstr>
      <vt:lpstr>Max_Sub_IO_DN3</vt:lpstr>
      <vt:lpstr>Max_Sub_IO_DN4</vt:lpstr>
      <vt:lpstr>Max_Sub_IO_DN5</vt:lpstr>
      <vt:lpstr>Max_Sub_IO_DN6</vt:lpstr>
      <vt:lpstr>Max_Sub_IO_DN7</vt:lpstr>
      <vt:lpstr>Max_Sub_IO_DN8</vt:lpstr>
      <vt:lpstr>Max_Sub_IO_DN9</vt:lpstr>
      <vt:lpstr>Max_Sub_IO_Tot</vt:lpstr>
      <vt:lpstr>Max_Sub_Tot</vt:lpstr>
      <vt:lpstr>'Deelnemer 1 - Penvoerder'!Max_Subsidie_EO</vt:lpstr>
      <vt:lpstr>'Deelnemer 10'!Max_Subsidie_EO</vt:lpstr>
      <vt:lpstr>'Deelnemer 11'!Max_Subsidie_EO</vt:lpstr>
      <vt:lpstr>'Deelnemer 12'!Max_Subsidie_EO</vt:lpstr>
      <vt:lpstr>'Deelnemer 13'!Max_Subsidie_EO</vt:lpstr>
      <vt:lpstr>'Deelnemer 14'!Max_Subsidie_EO</vt:lpstr>
      <vt:lpstr>'Deelnemer 15'!Max_Subsidie_EO</vt:lpstr>
      <vt:lpstr>'Deelnemer 16'!Max_Subsidie_EO</vt:lpstr>
      <vt:lpstr>'Deelnemer 17'!Max_Subsidie_EO</vt:lpstr>
      <vt:lpstr>'Deelnemer 18'!Max_Subsidie_EO</vt:lpstr>
      <vt:lpstr>'Deelnemer 19'!Max_Subsidie_EO</vt:lpstr>
      <vt:lpstr>'Deelnemer 2'!Max_Subsidie_EO</vt:lpstr>
      <vt:lpstr>'Deelnemer 20'!Max_Subsidie_EO</vt:lpstr>
      <vt:lpstr>'Deelnemer 3'!Max_Subsidie_EO</vt:lpstr>
      <vt:lpstr>'Deelnemer 4'!Max_Subsidie_EO</vt:lpstr>
      <vt:lpstr>'Deelnemer 5'!Max_Subsidie_EO</vt:lpstr>
      <vt:lpstr>'Deelnemer 6'!Max_Subsidie_EO</vt:lpstr>
      <vt:lpstr>'Deelnemer 7'!Max_Subsidie_EO</vt:lpstr>
      <vt:lpstr>'Deelnemer 8'!Max_Subsidie_EO</vt:lpstr>
      <vt:lpstr>'Deelnemer 9'!Max_Subsidie_EO</vt:lpstr>
      <vt:lpstr>'Deelnemer 1 - Penvoerder'!Max_Subsidie_FO</vt:lpstr>
      <vt:lpstr>'Deelnemer 10'!Max_Subsidie_FO</vt:lpstr>
      <vt:lpstr>'Deelnemer 11'!Max_Subsidie_FO</vt:lpstr>
      <vt:lpstr>'Deelnemer 12'!Max_Subsidie_FO</vt:lpstr>
      <vt:lpstr>'Deelnemer 13'!Max_Subsidie_FO</vt:lpstr>
      <vt:lpstr>'Deelnemer 14'!Max_Subsidie_FO</vt:lpstr>
      <vt:lpstr>'Deelnemer 15'!Max_Subsidie_FO</vt:lpstr>
      <vt:lpstr>'Deelnemer 16'!Max_Subsidie_FO</vt:lpstr>
      <vt:lpstr>'Deelnemer 17'!Max_Subsidie_FO</vt:lpstr>
      <vt:lpstr>'Deelnemer 18'!Max_Subsidie_FO</vt:lpstr>
      <vt:lpstr>'Deelnemer 19'!Max_Subsidie_FO</vt:lpstr>
      <vt:lpstr>'Deelnemer 2'!Max_Subsidie_FO</vt:lpstr>
      <vt:lpstr>'Deelnemer 20'!Max_Subsidie_FO</vt:lpstr>
      <vt:lpstr>'Deelnemer 3'!Max_Subsidie_FO</vt:lpstr>
      <vt:lpstr>'Deelnemer 4'!Max_Subsidie_FO</vt:lpstr>
      <vt:lpstr>'Deelnemer 5'!Max_Subsidie_FO</vt:lpstr>
      <vt:lpstr>'Deelnemer 6'!Max_Subsidie_FO</vt:lpstr>
      <vt:lpstr>'Deelnemer 7'!Max_Subsidie_FO</vt:lpstr>
      <vt:lpstr>'Deelnemer 8'!Max_Subsidie_FO</vt:lpstr>
      <vt:lpstr>'Deelnemer 9'!Max_Subsidie_FO</vt:lpstr>
      <vt:lpstr>'Deelnemer 1 - Penvoerder'!Max_Subsidie_IO</vt:lpstr>
      <vt:lpstr>'Deelnemer 10'!Max_Subsidie_IO</vt:lpstr>
      <vt:lpstr>'Deelnemer 11'!Max_Subsidie_IO</vt:lpstr>
      <vt:lpstr>'Deelnemer 12'!Max_Subsidie_IO</vt:lpstr>
      <vt:lpstr>'Deelnemer 13'!Max_Subsidie_IO</vt:lpstr>
      <vt:lpstr>'Deelnemer 14'!Max_Subsidie_IO</vt:lpstr>
      <vt:lpstr>'Deelnemer 15'!Max_Subsidie_IO</vt:lpstr>
      <vt:lpstr>'Deelnemer 16'!Max_Subsidie_IO</vt:lpstr>
      <vt:lpstr>'Deelnemer 17'!Max_Subsidie_IO</vt:lpstr>
      <vt:lpstr>'Deelnemer 18'!Max_Subsidie_IO</vt:lpstr>
      <vt:lpstr>'Deelnemer 19'!Max_Subsidie_IO</vt:lpstr>
      <vt:lpstr>'Deelnemer 2'!Max_Subsidie_IO</vt:lpstr>
      <vt:lpstr>'Deelnemer 20'!Max_Subsidie_IO</vt:lpstr>
      <vt:lpstr>'Deelnemer 3'!Max_Subsidie_IO</vt:lpstr>
      <vt:lpstr>'Deelnemer 4'!Max_Subsidie_IO</vt:lpstr>
      <vt:lpstr>'Deelnemer 5'!Max_Subsidie_IO</vt:lpstr>
      <vt:lpstr>'Deelnemer 6'!Max_Subsidie_IO</vt:lpstr>
      <vt:lpstr>'Deelnemer 7'!Max_Subsidie_IO</vt:lpstr>
      <vt:lpstr>'Deelnemer 8'!Max_Subsidie_IO</vt:lpstr>
      <vt:lpstr>'Deelnemer 9'!Max_Subsidie_IO</vt:lpstr>
      <vt:lpstr>'Deelnemer 1 - Penvoerder'!Max_Subsidie_Totaal</vt:lpstr>
      <vt:lpstr>'Deelnemer 10'!Max_Subsidie_Totaal</vt:lpstr>
      <vt:lpstr>'Deelnemer 11'!Max_Subsidie_Totaal</vt:lpstr>
      <vt:lpstr>'Deelnemer 12'!Max_Subsidie_Totaal</vt:lpstr>
      <vt:lpstr>'Deelnemer 13'!Max_Subsidie_Totaal</vt:lpstr>
      <vt:lpstr>'Deelnemer 14'!Max_Subsidie_Totaal</vt:lpstr>
      <vt:lpstr>'Deelnemer 15'!Max_Subsidie_Totaal</vt:lpstr>
      <vt:lpstr>'Deelnemer 16'!Max_Subsidie_Totaal</vt:lpstr>
      <vt:lpstr>'Deelnemer 17'!Max_Subsidie_Totaal</vt:lpstr>
      <vt:lpstr>'Deelnemer 18'!Max_Subsidie_Totaal</vt:lpstr>
      <vt:lpstr>'Deelnemer 19'!Max_Subsidie_Totaal</vt:lpstr>
      <vt:lpstr>'Deelnemer 2'!Max_Subsidie_Totaal</vt:lpstr>
      <vt:lpstr>'Deelnemer 20'!Max_Subsidie_Totaal</vt:lpstr>
      <vt:lpstr>'Deelnemer 3'!Max_Subsidie_Totaal</vt:lpstr>
      <vt:lpstr>'Deelnemer 4'!Max_Subsidie_Totaal</vt:lpstr>
      <vt:lpstr>'Deelnemer 5'!Max_Subsidie_Totaal</vt:lpstr>
      <vt:lpstr>'Deelnemer 6'!Max_Subsidie_Totaal</vt:lpstr>
      <vt:lpstr>'Deelnemer 7'!Max_Subsidie_Totaal</vt:lpstr>
      <vt:lpstr>'Deelnemer 8'!Max_Subsidie_Totaal</vt:lpstr>
      <vt:lpstr>'Deelnemer 9'!Max_Subsidie_Totaal</vt:lpstr>
      <vt:lpstr>Minimale_Cash_CoF</vt:lpstr>
      <vt:lpstr>Overige_Subsidies_DN1</vt:lpstr>
      <vt:lpstr>Overige_Subsidies_DN10</vt:lpstr>
      <vt:lpstr>Overige_Subsidies_DN11</vt:lpstr>
      <vt:lpstr>Overige_Subsidies_DN12</vt:lpstr>
      <vt:lpstr>Overige_Subsidies_DN13</vt:lpstr>
      <vt:lpstr>Overige_Subsidies_DN14</vt:lpstr>
      <vt:lpstr>Overige_Subsidies_DN15</vt:lpstr>
      <vt:lpstr>Overige_Subsidies_DN16</vt:lpstr>
      <vt:lpstr>Overige_Subsidies_DN17</vt:lpstr>
      <vt:lpstr>Overige_Subsidies_DN18</vt:lpstr>
      <vt:lpstr>Overige_Subsidies_DN19</vt:lpstr>
      <vt:lpstr>Overige_Subsidies_DN2</vt:lpstr>
      <vt:lpstr>Overige_Subsidies_DN20</vt:lpstr>
      <vt:lpstr>Overige_Subsidies_DN3</vt:lpstr>
      <vt:lpstr>Overige_Subsidies_DN4</vt:lpstr>
      <vt:lpstr>Overige_Subsidies_DN5</vt:lpstr>
      <vt:lpstr>Overige_Subsidies_DN6</vt:lpstr>
      <vt:lpstr>Overige_Subsidies_DN7</vt:lpstr>
      <vt:lpstr>Overige_Subsidies_DN8</vt:lpstr>
      <vt:lpstr>Overige_Subsidies_DN9</vt:lpstr>
      <vt:lpstr>Overige_Subsidies_Tot</vt:lpstr>
      <vt:lpstr>Projectacroniem</vt:lpstr>
      <vt:lpstr>Projecttitel</vt:lpstr>
      <vt:lpstr>Range_Deelnemer_Nrs</vt:lpstr>
      <vt:lpstr>Range_Deelnemers</vt:lpstr>
      <vt:lpstr>Range_Deelnemers_Naam_Organisaties</vt:lpstr>
      <vt:lpstr>Range_Deelnemers_Type_Organisaties</vt:lpstr>
      <vt:lpstr>Result_Check_005</vt:lpstr>
      <vt:lpstr>Result_Check_006</vt:lpstr>
      <vt:lpstr>Result_Check_011</vt:lpstr>
      <vt:lpstr>Result_Check_013</vt:lpstr>
      <vt:lpstr>Result_Check_015</vt:lpstr>
      <vt:lpstr>Result_Check_017</vt:lpstr>
      <vt:lpstr>Result_Check_020</vt:lpstr>
      <vt:lpstr>Result_Check_111</vt:lpstr>
      <vt:lpstr>Result_Check_121</vt:lpstr>
      <vt:lpstr>Result_Check_123</vt:lpstr>
      <vt:lpstr>Result_Check_125</vt:lpstr>
      <vt:lpstr>Result_Check_150</vt:lpstr>
      <vt:lpstr>Result_Check_160</vt:lpstr>
      <vt:lpstr>Result_Check_190</vt:lpstr>
      <vt:lpstr>Result_Check_200</vt:lpstr>
      <vt:lpstr>Result_Check_500</vt:lpstr>
      <vt:lpstr>Result_Check_505</vt:lpstr>
      <vt:lpstr>Result_Check_510</vt:lpstr>
      <vt:lpstr>Result_Check_515</vt:lpstr>
      <vt:lpstr>Result_Check_520</vt:lpstr>
      <vt:lpstr>Result_Check_525</vt:lpstr>
      <vt:lpstr>Result_Check_530</vt:lpstr>
      <vt:lpstr>Result_Check_535</vt:lpstr>
      <vt:lpstr>Result_Check_540</vt:lpstr>
      <vt:lpstr>Result_Check_541</vt:lpstr>
      <vt:lpstr>Result_Check_545</vt:lpstr>
      <vt:lpstr>Result_Check_550</vt:lpstr>
      <vt:lpstr>Result_Check_555</vt:lpstr>
      <vt:lpstr>Result_Check_560</vt:lpstr>
      <vt:lpstr>Result_Check_565</vt:lpstr>
      <vt:lpstr>Result_Check_570</vt:lpstr>
      <vt:lpstr>Result_Check_575</vt:lpstr>
      <vt:lpstr>Result_Check_580</vt:lpstr>
      <vt:lpstr>Result_Check_990</vt:lpstr>
      <vt:lpstr>Result_Check_999</vt:lpstr>
      <vt:lpstr>Subsidie_DN1</vt:lpstr>
      <vt:lpstr>Subsidie_DN10</vt:lpstr>
      <vt:lpstr>Subsidie_DN11</vt:lpstr>
      <vt:lpstr>Subsidie_DN12</vt:lpstr>
      <vt:lpstr>Subsidie_DN13</vt:lpstr>
      <vt:lpstr>Subsidie_DN14</vt:lpstr>
      <vt:lpstr>Subsidie_DN15</vt:lpstr>
      <vt:lpstr>Subsidie_DN16</vt:lpstr>
      <vt:lpstr>Subsidie_DN17</vt:lpstr>
      <vt:lpstr>Subsidie_DN18</vt:lpstr>
      <vt:lpstr>Subsidie_DN19</vt:lpstr>
      <vt:lpstr>Subsidie_DN2</vt:lpstr>
      <vt:lpstr>Subsidie_DN20</vt:lpstr>
      <vt:lpstr>Subsidie_DN3</vt:lpstr>
      <vt:lpstr>Subsidie_DN4</vt:lpstr>
      <vt:lpstr>Subsidie_DN5</vt:lpstr>
      <vt:lpstr>Subsidie_DN6</vt:lpstr>
      <vt:lpstr>Subsidie_DN7</vt:lpstr>
      <vt:lpstr>Subsidie_DN8</vt:lpstr>
      <vt:lpstr>Subsidie_DN9</vt:lpstr>
      <vt:lpstr>Subsidie_EO_DN1</vt:lpstr>
      <vt:lpstr>Subsidie_EO_DN10</vt:lpstr>
      <vt:lpstr>Subsidie_EO_DN11</vt:lpstr>
      <vt:lpstr>Subsidie_EO_DN12</vt:lpstr>
      <vt:lpstr>Subsidie_EO_DN13</vt:lpstr>
      <vt:lpstr>Subsidie_EO_DN14</vt:lpstr>
      <vt:lpstr>Subsidie_EO_DN15</vt:lpstr>
      <vt:lpstr>Subsidie_EO_DN16</vt:lpstr>
      <vt:lpstr>Subsidie_EO_DN17</vt:lpstr>
      <vt:lpstr>Subsidie_EO_DN18</vt:lpstr>
      <vt:lpstr>Subsidie_EO_DN19</vt:lpstr>
      <vt:lpstr>Subsidie_EO_DN2</vt:lpstr>
      <vt:lpstr>Subsidie_EO_DN20</vt:lpstr>
      <vt:lpstr>Subsidie_EO_DN3</vt:lpstr>
      <vt:lpstr>Subsidie_EO_DN4</vt:lpstr>
      <vt:lpstr>Subsidie_EO_DN5</vt:lpstr>
      <vt:lpstr>Subsidie_EO_DN6</vt:lpstr>
      <vt:lpstr>Subsidie_EO_DN7</vt:lpstr>
      <vt:lpstr>Subsidie_EO_DN8</vt:lpstr>
      <vt:lpstr>Subsidie_EO_DN9</vt:lpstr>
      <vt:lpstr>Subsidie_EO_Tot</vt:lpstr>
      <vt:lpstr>Subsidie_FO_DN1</vt:lpstr>
      <vt:lpstr>Subsidie_FO_DN10</vt:lpstr>
      <vt:lpstr>Subsidie_FO_DN11</vt:lpstr>
      <vt:lpstr>Subsidie_FO_DN12</vt:lpstr>
      <vt:lpstr>Subsidie_FO_DN13</vt:lpstr>
      <vt:lpstr>Subsidie_FO_DN14</vt:lpstr>
      <vt:lpstr>Subsidie_FO_DN15</vt:lpstr>
      <vt:lpstr>Subsidie_FO_DN16</vt:lpstr>
      <vt:lpstr>Subsidie_FO_DN17</vt:lpstr>
      <vt:lpstr>Subsidie_FO_DN18</vt:lpstr>
      <vt:lpstr>Subsidie_FO_DN19</vt:lpstr>
      <vt:lpstr>Subsidie_FO_DN2</vt:lpstr>
      <vt:lpstr>Subsidie_FO_DN20</vt:lpstr>
      <vt:lpstr>Subsidie_FO_DN3</vt:lpstr>
      <vt:lpstr>Subsidie_FO_DN4</vt:lpstr>
      <vt:lpstr>Subsidie_FO_DN5</vt:lpstr>
      <vt:lpstr>Subsidie_FO_DN6</vt:lpstr>
      <vt:lpstr>Subsidie_FO_DN7</vt:lpstr>
      <vt:lpstr>Subsidie_FO_DN8</vt:lpstr>
      <vt:lpstr>Subsidie_FO_DN9</vt:lpstr>
      <vt:lpstr>Subsidie_FO_Tot</vt:lpstr>
      <vt:lpstr>Subsidie_instrument</vt:lpstr>
      <vt:lpstr>Subsidie_IO_DN1</vt:lpstr>
      <vt:lpstr>Subsidie_IO_DN10</vt:lpstr>
      <vt:lpstr>Subsidie_IO_DN11</vt:lpstr>
      <vt:lpstr>Subsidie_IO_DN12</vt:lpstr>
      <vt:lpstr>Subsidie_IO_DN13</vt:lpstr>
      <vt:lpstr>Subsidie_IO_DN14</vt:lpstr>
      <vt:lpstr>Subsidie_IO_DN15</vt:lpstr>
      <vt:lpstr>Subsidie_IO_DN16</vt:lpstr>
      <vt:lpstr>Subsidie_IO_DN17</vt:lpstr>
      <vt:lpstr>Subsidie_IO_DN18</vt:lpstr>
      <vt:lpstr>Subsidie_IO_DN19</vt:lpstr>
      <vt:lpstr>Subsidie_IO_DN2</vt:lpstr>
      <vt:lpstr>Subsidie_IO_DN20</vt:lpstr>
      <vt:lpstr>Subsidie_IO_DN3</vt:lpstr>
      <vt:lpstr>Subsidie_IO_DN4</vt:lpstr>
      <vt:lpstr>Subsidie_IO_DN5</vt:lpstr>
      <vt:lpstr>Subsidie_IO_DN6</vt:lpstr>
      <vt:lpstr>Subsidie_IO_DN7</vt:lpstr>
      <vt:lpstr>Subsidie_IO_DN8</vt:lpstr>
      <vt:lpstr>Subsidie_IO_DN9</vt:lpstr>
      <vt:lpstr>Subsidie_IO_Tot</vt:lpstr>
      <vt:lpstr>Subsidie_Tot</vt:lpstr>
      <vt:lpstr>'Deelnemer 1 - Penvoerder'!Type_Organisatie</vt:lpstr>
      <vt:lpstr>'Deelnemer 10'!Type_Organisatie</vt:lpstr>
      <vt:lpstr>'Deelnemer 11'!Type_Organisatie</vt:lpstr>
      <vt:lpstr>'Deelnemer 12'!Type_Organisatie</vt:lpstr>
      <vt:lpstr>'Deelnemer 13'!Type_Organisatie</vt:lpstr>
      <vt:lpstr>'Deelnemer 14'!Type_Organisatie</vt:lpstr>
      <vt:lpstr>'Deelnemer 15'!Type_Organisatie</vt:lpstr>
      <vt:lpstr>'Deelnemer 16'!Type_Organisatie</vt:lpstr>
      <vt:lpstr>'Deelnemer 17'!Type_Organisatie</vt:lpstr>
      <vt:lpstr>'Deelnemer 18'!Type_Organisatie</vt:lpstr>
      <vt:lpstr>'Deelnemer 19'!Type_Organisatie</vt:lpstr>
      <vt:lpstr>'Deelnemer 2'!Type_Organisatie</vt:lpstr>
      <vt:lpstr>'Deelnemer 20'!Type_Organisatie</vt:lpstr>
      <vt:lpstr>'Deelnemer 3'!Type_Organisatie</vt:lpstr>
      <vt:lpstr>'Deelnemer 4'!Type_Organisatie</vt:lpstr>
      <vt:lpstr>'Deelnemer 5'!Type_Organisatie</vt:lpstr>
      <vt:lpstr>'Deelnemer 6'!Type_Organisatie</vt:lpstr>
      <vt:lpstr>'Deelnemer 7'!Type_Organisatie</vt:lpstr>
      <vt:lpstr>'Deelnemer 8'!Type_Organisatie</vt:lpstr>
      <vt:lpstr>'Deelnemer 9'!Type_Organisatie</vt:lpstr>
      <vt:lpstr>ValList_Deelnemers</vt:lpstr>
      <vt:lpstr>ValList_ja_epsilon</vt:lpstr>
      <vt:lpstr>ValList_ja_nee</vt:lpstr>
      <vt:lpstr>ValList_Kostensystematiek</vt:lpstr>
      <vt:lpstr>ValList_Subsidie_instrument</vt:lpstr>
      <vt:lpstr>ValList_Type_Organisatie</vt:lpstr>
      <vt:lpstr>Vaste_uurtarief</vt:lpstr>
      <vt:lpstr>Versienummer</vt:lpstr>
    </vt:vector>
  </TitlesOfParts>
  <Company>Stichting TKI HTSM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TKI HTSM PPS - Aanvraag - Begroting + Financiering - template</dc:title>
  <dc:subject>Begroting + Financiering</dc:subject>
  <dc:creator>Erna Olislaegers | Holland High Tech</dc:creator>
  <cp:lastModifiedBy>Erna Olislaegers | Holland High Tech</cp:lastModifiedBy>
  <cp:lastPrinted>2024-03-03T14:32:39Z</cp:lastPrinted>
  <dcterms:created xsi:type="dcterms:W3CDTF">2023-12-18T14:33:25Z</dcterms:created>
  <dcterms:modified xsi:type="dcterms:W3CDTF">2026-01-23T10:58:24Z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0x0101007BA719D1EFE4D641B505E5FB8DEAE5B7</vt:lpwstr>
  </property>
  <property fmtid="{D5CDD505-2E9C-101B-9397-08002B2CF9AE}" pid="3" name="MediaServiceImageTags">
    <vt:lpwstr/>
  </property>
</Properties>
</file>